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jogi\Desktop\"/>
    </mc:Choice>
  </mc:AlternateContent>
  <xr:revisionPtr revIDLastSave="0" documentId="13_ncr:1_{37AD49FA-2BA5-4977-BCF8-6DEB941E6288}" xr6:coauthVersionLast="47" xr6:coauthVersionMax="47" xr10:uidLastSave="{00000000-0000-0000-0000-000000000000}"/>
  <bookViews>
    <workbookView xWindow="-120" yWindow="-120" windowWidth="29040" windowHeight="15840" firstSheet="5" activeTab="10" xr2:uid="{00000000-000D-0000-FFFF-FFFF00000000}"/>
  </bookViews>
  <sheets>
    <sheet name="Üldharidus" sheetId="22" r:id="rId1"/>
    <sheet name="Huvitegevus" sheetId="19" r:id="rId2"/>
    <sheet name="Lasteaed" sheetId="20" r:id="rId3"/>
    <sheet name="Toimetulekutoetus" sheetId="10" r:id="rId4"/>
    <sheet name="Abivajadusega lapsed" sheetId="18" r:id="rId5"/>
    <sheet name="Rahvastikutoimingud" sheetId="24" r:id="rId6"/>
    <sheet name="Rahvastikutoimingud Ukraina" sheetId="32" r:id="rId7"/>
    <sheet name="Kohalikud teed" sheetId="26" r:id="rId8"/>
    <sheet name="Üleantud teed" sheetId="25" r:id="rId9"/>
    <sheet name="Tasandusfond" sheetId="27" r:id="rId10"/>
    <sheet name="KOOND" sheetId="14" r:id="rId11"/>
    <sheet name="Tulumaks 2021-2024" sheetId="29" state="hidden" r:id="rId12"/>
    <sheet name="Tasandusfond KOV vaates" sheetId="28" r:id="rId13"/>
    <sheet name="Pikaajaline hooldus" sheetId="30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14" l="1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4" i="14"/>
  <c r="V83" i="14"/>
  <c r="V5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6" i="14"/>
  <c r="V57" i="14"/>
  <c r="V58" i="14"/>
  <c r="V59" i="14"/>
  <c r="V60" i="14"/>
  <c r="V61" i="14"/>
  <c r="V62" i="14"/>
  <c r="V63" i="14"/>
  <c r="V64" i="14"/>
  <c r="V65" i="14"/>
  <c r="V66" i="14"/>
  <c r="V67" i="14"/>
  <c r="V68" i="14"/>
  <c r="V69" i="14"/>
  <c r="V70" i="14"/>
  <c r="V71" i="14"/>
  <c r="V72" i="14"/>
  <c r="V73" i="14"/>
  <c r="V74" i="14"/>
  <c r="V75" i="14"/>
  <c r="V76" i="14"/>
  <c r="V77" i="14"/>
  <c r="V78" i="14"/>
  <c r="V79" i="14"/>
  <c r="V80" i="14"/>
  <c r="V81" i="14"/>
  <c r="V82" i="14"/>
  <c r="V4" i="14"/>
  <c r="V87" i="10"/>
  <c r="V83" i="10"/>
  <c r="V85" i="10" s="1"/>
  <c r="U83" i="10"/>
  <c r="V82" i="10"/>
  <c r="V81" i="10"/>
  <c r="V80" i="10"/>
  <c r="V79" i="10"/>
  <c r="V78" i="10"/>
  <c r="V77" i="10"/>
  <c r="V76" i="10"/>
  <c r="V75" i="10"/>
  <c r="V74" i="10"/>
  <c r="V73" i="10"/>
  <c r="V72" i="10"/>
  <c r="V71" i="10"/>
  <c r="V70" i="10"/>
  <c r="V69" i="10"/>
  <c r="V68" i="10"/>
  <c r="V67" i="10"/>
  <c r="V66" i="10"/>
  <c r="V65" i="10"/>
  <c r="V64" i="10"/>
  <c r="V63" i="10"/>
  <c r="V62" i="10"/>
  <c r="V61" i="10"/>
  <c r="V60" i="10"/>
  <c r="V59" i="10"/>
  <c r="V58" i="10"/>
  <c r="V57" i="10"/>
  <c r="V56" i="10"/>
  <c r="V55" i="10"/>
  <c r="V54" i="10"/>
  <c r="V53" i="10"/>
  <c r="V52" i="10"/>
  <c r="V51" i="10"/>
  <c r="V50" i="10"/>
  <c r="V49" i="10"/>
  <c r="V48" i="10"/>
  <c r="V47" i="10"/>
  <c r="V46" i="10"/>
  <c r="V45" i="10"/>
  <c r="V44" i="10"/>
  <c r="V43" i="10"/>
  <c r="V42" i="10"/>
  <c r="V41" i="10"/>
  <c r="V40" i="10"/>
  <c r="V39" i="10"/>
  <c r="V38" i="10"/>
  <c r="V37" i="10"/>
  <c r="V36" i="10"/>
  <c r="V35" i="10"/>
  <c r="V34" i="10"/>
  <c r="V33" i="10"/>
  <c r="V32" i="10"/>
  <c r="V31" i="10"/>
  <c r="V30" i="10"/>
  <c r="V29" i="10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V9" i="10"/>
  <c r="V8" i="10"/>
  <c r="V7" i="10"/>
  <c r="V6" i="10"/>
  <c r="V5" i="10"/>
  <c r="V4" i="10"/>
  <c r="U83" i="14"/>
  <c r="D84" i="14"/>
  <c r="E5" i="14"/>
  <c r="F5" i="14"/>
  <c r="E6" i="14"/>
  <c r="F6" i="14"/>
  <c r="E7" i="14"/>
  <c r="F7" i="14"/>
  <c r="E8" i="14"/>
  <c r="F8" i="14"/>
  <c r="E9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E19" i="14"/>
  <c r="F19" i="14"/>
  <c r="E20" i="14"/>
  <c r="F20" i="14"/>
  <c r="E21" i="14"/>
  <c r="F21" i="14"/>
  <c r="E22" i="14"/>
  <c r="F22" i="14"/>
  <c r="E23" i="14"/>
  <c r="F23" i="14"/>
  <c r="E24" i="14"/>
  <c r="F24" i="14"/>
  <c r="E25" i="14"/>
  <c r="F25" i="14"/>
  <c r="E26" i="14"/>
  <c r="F26" i="14"/>
  <c r="E27" i="14"/>
  <c r="F27" i="14"/>
  <c r="E28" i="14"/>
  <c r="F28" i="14"/>
  <c r="E29" i="14"/>
  <c r="F29" i="14"/>
  <c r="E30" i="14"/>
  <c r="F30" i="14"/>
  <c r="E31" i="14"/>
  <c r="F31" i="14"/>
  <c r="E32" i="14"/>
  <c r="F32" i="14"/>
  <c r="E33" i="14"/>
  <c r="F33" i="14"/>
  <c r="E34" i="14"/>
  <c r="F34" i="14"/>
  <c r="E35" i="14"/>
  <c r="F35" i="14"/>
  <c r="E36" i="14"/>
  <c r="F36" i="14"/>
  <c r="E37" i="14"/>
  <c r="F37" i="14"/>
  <c r="E38" i="14"/>
  <c r="F38" i="14"/>
  <c r="E39" i="14"/>
  <c r="F39" i="14"/>
  <c r="E40" i="14"/>
  <c r="F40" i="14"/>
  <c r="E41" i="14"/>
  <c r="F41" i="14"/>
  <c r="E42" i="14"/>
  <c r="F42" i="14"/>
  <c r="E43" i="14"/>
  <c r="F43" i="14"/>
  <c r="E44" i="14"/>
  <c r="F44" i="14"/>
  <c r="E45" i="14"/>
  <c r="F45" i="14"/>
  <c r="E46" i="14"/>
  <c r="F46" i="14"/>
  <c r="E47" i="14"/>
  <c r="F47" i="14"/>
  <c r="E48" i="14"/>
  <c r="F48" i="14"/>
  <c r="E49" i="14"/>
  <c r="F49" i="14"/>
  <c r="E50" i="14"/>
  <c r="F50" i="14"/>
  <c r="E51" i="14"/>
  <c r="F51" i="14"/>
  <c r="E52" i="14"/>
  <c r="F52" i="14"/>
  <c r="E53" i="14"/>
  <c r="F53" i="14"/>
  <c r="E54" i="14"/>
  <c r="F54" i="14"/>
  <c r="E55" i="14"/>
  <c r="F55" i="14"/>
  <c r="E56" i="14"/>
  <c r="F56" i="14"/>
  <c r="E57" i="14"/>
  <c r="F57" i="14"/>
  <c r="E58" i="14"/>
  <c r="F58" i="14"/>
  <c r="E59" i="14"/>
  <c r="F59" i="14"/>
  <c r="E60" i="14"/>
  <c r="F60" i="14"/>
  <c r="E61" i="14"/>
  <c r="F61" i="14"/>
  <c r="E62" i="14"/>
  <c r="F62" i="14"/>
  <c r="E63" i="14"/>
  <c r="F63" i="14"/>
  <c r="E64" i="14"/>
  <c r="F64" i="14"/>
  <c r="E65" i="14"/>
  <c r="F65" i="14"/>
  <c r="E66" i="14"/>
  <c r="F66" i="14"/>
  <c r="E67" i="14"/>
  <c r="F67" i="14"/>
  <c r="E68" i="14"/>
  <c r="F68" i="14"/>
  <c r="E69" i="14"/>
  <c r="F69" i="14"/>
  <c r="E70" i="14"/>
  <c r="F70" i="14"/>
  <c r="E71" i="14"/>
  <c r="F71" i="14"/>
  <c r="E72" i="14"/>
  <c r="F72" i="14"/>
  <c r="E73" i="14"/>
  <c r="F73" i="14"/>
  <c r="E74" i="14"/>
  <c r="F74" i="14"/>
  <c r="E75" i="14"/>
  <c r="F75" i="14"/>
  <c r="E76" i="14"/>
  <c r="F76" i="14"/>
  <c r="E77" i="14"/>
  <c r="F77" i="14"/>
  <c r="E78" i="14"/>
  <c r="F78" i="14"/>
  <c r="E79" i="14"/>
  <c r="F79" i="14"/>
  <c r="E80" i="14"/>
  <c r="F80" i="14"/>
  <c r="E81" i="14"/>
  <c r="F81" i="14"/>
  <c r="E82" i="14"/>
  <c r="F82" i="14"/>
  <c r="F4" i="14"/>
  <c r="E4" i="14"/>
  <c r="AX85" i="22"/>
  <c r="D86" i="14"/>
  <c r="C95" i="22"/>
  <c r="G88" i="22"/>
  <c r="C88" i="22"/>
  <c r="AQ87" i="27" l="1"/>
  <c r="AQ86" i="27"/>
  <c r="AL87" i="27"/>
  <c r="AL86" i="27"/>
  <c r="BC89" i="27"/>
  <c r="BC88" i="27"/>
  <c r="R78" i="14" l="1"/>
  <c r="Y5" i="27"/>
  <c r="Y6" i="27"/>
  <c r="Y7" i="27"/>
  <c r="Y8" i="27"/>
  <c r="Y9" i="27"/>
  <c r="Y10" i="27"/>
  <c r="Y11" i="27"/>
  <c r="Y12" i="27"/>
  <c r="Y13" i="27"/>
  <c r="Y14" i="27"/>
  <c r="Y15" i="27"/>
  <c r="Y16" i="27"/>
  <c r="Y17" i="27"/>
  <c r="Y18" i="27"/>
  <c r="Y19" i="27"/>
  <c r="Y20" i="27"/>
  <c r="Y21" i="27"/>
  <c r="Y22" i="27"/>
  <c r="Y23" i="27"/>
  <c r="Y24" i="27"/>
  <c r="Y25" i="27"/>
  <c r="Y26" i="27"/>
  <c r="Y27" i="27"/>
  <c r="Y28" i="27"/>
  <c r="Y29" i="27"/>
  <c r="Y30" i="27"/>
  <c r="Y31" i="27"/>
  <c r="Y32" i="27"/>
  <c r="Y33" i="27"/>
  <c r="Y34" i="27"/>
  <c r="Y35" i="27"/>
  <c r="Y36" i="27"/>
  <c r="Y37" i="27"/>
  <c r="Y38" i="27"/>
  <c r="Y39" i="27"/>
  <c r="Y40" i="27"/>
  <c r="Y41" i="27"/>
  <c r="Y42" i="27"/>
  <c r="Y43" i="27"/>
  <c r="Y44" i="27"/>
  <c r="Y45" i="27"/>
  <c r="Y46" i="27"/>
  <c r="Y47" i="27"/>
  <c r="Y48" i="27"/>
  <c r="Y49" i="27"/>
  <c r="Y50" i="27"/>
  <c r="Y51" i="27"/>
  <c r="Y52" i="27"/>
  <c r="Y53" i="27"/>
  <c r="Y54" i="27"/>
  <c r="Y55" i="27"/>
  <c r="Y56" i="27"/>
  <c r="Y57" i="27"/>
  <c r="Y58" i="27"/>
  <c r="Y59" i="27"/>
  <c r="Y60" i="27"/>
  <c r="Y61" i="27"/>
  <c r="Y62" i="27"/>
  <c r="Y63" i="27"/>
  <c r="Y64" i="27"/>
  <c r="Y65" i="27"/>
  <c r="Y66" i="27"/>
  <c r="Y67" i="27"/>
  <c r="Y68" i="27"/>
  <c r="Y69" i="27"/>
  <c r="Y70" i="27"/>
  <c r="Y71" i="27"/>
  <c r="Y72" i="27"/>
  <c r="Y73" i="27"/>
  <c r="Y74" i="27"/>
  <c r="Y75" i="27"/>
  <c r="Y76" i="27"/>
  <c r="Y77" i="27"/>
  <c r="Y78" i="27"/>
  <c r="Y79" i="27"/>
  <c r="Y80" i="27"/>
  <c r="Y81" i="27"/>
  <c r="Y82" i="27"/>
  <c r="Y4" i="27"/>
  <c r="Y83" i="27" l="1"/>
  <c r="K83" i="27"/>
  <c r="AA83" i="24" l="1"/>
  <c r="K83" i="32"/>
  <c r="O84" i="24" l="1"/>
  <c r="O94" i="24"/>
  <c r="O83" i="24"/>
  <c r="Z5" i="24" l="1"/>
  <c r="Z6" i="24"/>
  <c r="Z7" i="24"/>
  <c r="Z8" i="24"/>
  <c r="AA8" i="24" s="1"/>
  <c r="Z9" i="24"/>
  <c r="Z10" i="24"/>
  <c r="Z11" i="24"/>
  <c r="AA11" i="24" s="1"/>
  <c r="Z12" i="24"/>
  <c r="Z83" i="24" s="1"/>
  <c r="Z13" i="24"/>
  <c r="Z14" i="24"/>
  <c r="Z15" i="24"/>
  <c r="Z16" i="24"/>
  <c r="AA16" i="24" s="1"/>
  <c r="Z17" i="24"/>
  <c r="Z18" i="24"/>
  <c r="Z19" i="24"/>
  <c r="Z20" i="24"/>
  <c r="AA20" i="24" s="1"/>
  <c r="Z21" i="24"/>
  <c r="Z22" i="24"/>
  <c r="Z23" i="24"/>
  <c r="Z24" i="24"/>
  <c r="AA24" i="24" s="1"/>
  <c r="Z25" i="24"/>
  <c r="Z26" i="24"/>
  <c r="Z27" i="24"/>
  <c r="AA27" i="24" s="1"/>
  <c r="Z28" i="24"/>
  <c r="AA28" i="24" s="1"/>
  <c r="Z29" i="24"/>
  <c r="Z30" i="24"/>
  <c r="Z31" i="24"/>
  <c r="Z32" i="24"/>
  <c r="Z33" i="24"/>
  <c r="Z34" i="24"/>
  <c r="Z35" i="24"/>
  <c r="Z36" i="24"/>
  <c r="AA36" i="24" s="1"/>
  <c r="Z37" i="24"/>
  <c r="Z38" i="24"/>
  <c r="Z39" i="24"/>
  <c r="Z40" i="24"/>
  <c r="AA40" i="24" s="1"/>
  <c r="Z41" i="24"/>
  <c r="Z42" i="24"/>
  <c r="Z43" i="24"/>
  <c r="AA43" i="24" s="1"/>
  <c r="Z44" i="24"/>
  <c r="AA44" i="24" s="1"/>
  <c r="Z45" i="24"/>
  <c r="Z46" i="24"/>
  <c r="Z47" i="24"/>
  <c r="Z48" i="24"/>
  <c r="AA48" i="24" s="1"/>
  <c r="Z49" i="24"/>
  <c r="Z50" i="24"/>
  <c r="Z51" i="24"/>
  <c r="Z52" i="24"/>
  <c r="AA52" i="24" s="1"/>
  <c r="Z53" i="24"/>
  <c r="Z54" i="24"/>
  <c r="Z55" i="24"/>
  <c r="Z56" i="24"/>
  <c r="AA56" i="24" s="1"/>
  <c r="Z57" i="24"/>
  <c r="Z58" i="24"/>
  <c r="Z59" i="24"/>
  <c r="AA59" i="24" s="1"/>
  <c r="Z60" i="24"/>
  <c r="AA60" i="24" s="1"/>
  <c r="Z61" i="24"/>
  <c r="Z62" i="24"/>
  <c r="Z63" i="24"/>
  <c r="Z64" i="24"/>
  <c r="Z65" i="24"/>
  <c r="Z66" i="24"/>
  <c r="Z67" i="24"/>
  <c r="Z68" i="24"/>
  <c r="AA68" i="24" s="1"/>
  <c r="Z69" i="24"/>
  <c r="Z70" i="24"/>
  <c r="Z71" i="24"/>
  <c r="Z72" i="24"/>
  <c r="AA72" i="24" s="1"/>
  <c r="Z73" i="24"/>
  <c r="Z74" i="24"/>
  <c r="Z75" i="24"/>
  <c r="AA75" i="24" s="1"/>
  <c r="Z76" i="24"/>
  <c r="AA76" i="24" s="1"/>
  <c r="Z77" i="24"/>
  <c r="Z78" i="24"/>
  <c r="Z79" i="24"/>
  <c r="Z80" i="24"/>
  <c r="AA80" i="24" s="1"/>
  <c r="Z81" i="24"/>
  <c r="Z82" i="24"/>
  <c r="Z4" i="24"/>
  <c r="Y5" i="24"/>
  <c r="Y6" i="24"/>
  <c r="Y7" i="24"/>
  <c r="Y8" i="24"/>
  <c r="Y9" i="24"/>
  <c r="AA9" i="24" s="1"/>
  <c r="Y10" i="24"/>
  <c r="AA10" i="24" s="1"/>
  <c r="Y11" i="24"/>
  <c r="Y12" i="24"/>
  <c r="Y13" i="24"/>
  <c r="Y14" i="24"/>
  <c r="Y15" i="24"/>
  <c r="Y16" i="24"/>
  <c r="Y17" i="24"/>
  <c r="AA17" i="24" s="1"/>
  <c r="Y18" i="24"/>
  <c r="AA18" i="24" s="1"/>
  <c r="Y19" i="24"/>
  <c r="Y20" i="24"/>
  <c r="Y21" i="24"/>
  <c r="Y22" i="24"/>
  <c r="Y23" i="24"/>
  <c r="Y24" i="24"/>
  <c r="Y25" i="24"/>
  <c r="AA25" i="24" s="1"/>
  <c r="Y26" i="24"/>
  <c r="AA26" i="24" s="1"/>
  <c r="Y27" i="24"/>
  <c r="Y28" i="24"/>
  <c r="Y29" i="24"/>
  <c r="Y30" i="24"/>
  <c r="Y31" i="24"/>
  <c r="Y32" i="24"/>
  <c r="Y33" i="24"/>
  <c r="AA33" i="24" s="1"/>
  <c r="Y34" i="24"/>
  <c r="AA34" i="24" s="1"/>
  <c r="Y35" i="24"/>
  <c r="Y36" i="24"/>
  <c r="Y37" i="24"/>
  <c r="Y38" i="24"/>
  <c r="Y39" i="24"/>
  <c r="Y40" i="24"/>
  <c r="Y41" i="24"/>
  <c r="AA41" i="24" s="1"/>
  <c r="Y42" i="24"/>
  <c r="AA42" i="24" s="1"/>
  <c r="Y43" i="24"/>
  <c r="Y44" i="24"/>
  <c r="Y45" i="24"/>
  <c r="Y46" i="24"/>
  <c r="Y47" i="24"/>
  <c r="Y48" i="24"/>
  <c r="Y49" i="24"/>
  <c r="AA49" i="24" s="1"/>
  <c r="Y50" i="24"/>
  <c r="AA50" i="24" s="1"/>
  <c r="Y51" i="24"/>
  <c r="Y52" i="24"/>
  <c r="Y53" i="24"/>
  <c r="Y54" i="24"/>
  <c r="Y55" i="24"/>
  <c r="Y56" i="24"/>
  <c r="Y57" i="24"/>
  <c r="AA57" i="24" s="1"/>
  <c r="Y58" i="24"/>
  <c r="AA58" i="24" s="1"/>
  <c r="Y59" i="24"/>
  <c r="Y60" i="24"/>
  <c r="Y61" i="24"/>
  <c r="Y62" i="24"/>
  <c r="Y63" i="24"/>
  <c r="Y64" i="24"/>
  <c r="Y65" i="24"/>
  <c r="AA65" i="24" s="1"/>
  <c r="Y66" i="24"/>
  <c r="AA66" i="24" s="1"/>
  <c r="Y67" i="24"/>
  <c r="Y68" i="24"/>
  <c r="Y69" i="24"/>
  <c r="Y70" i="24"/>
  <c r="Y71" i="24"/>
  <c r="Y72" i="24"/>
  <c r="Y73" i="24"/>
  <c r="AA73" i="24" s="1"/>
  <c r="Y74" i="24"/>
  <c r="AA74" i="24" s="1"/>
  <c r="Y75" i="24"/>
  <c r="Y76" i="24"/>
  <c r="Y77" i="24"/>
  <c r="Y78" i="24"/>
  <c r="Y79" i="24"/>
  <c r="Y80" i="24"/>
  <c r="Y81" i="24"/>
  <c r="AA81" i="24" s="1"/>
  <c r="Y82" i="24"/>
  <c r="AA82" i="24" s="1"/>
  <c r="Y4" i="24"/>
  <c r="D83" i="32"/>
  <c r="C83" i="32"/>
  <c r="K82" i="32"/>
  <c r="L81" i="32"/>
  <c r="N81" i="32" s="1"/>
  <c r="K81" i="32"/>
  <c r="K80" i="32"/>
  <c r="K79" i="32"/>
  <c r="K78" i="32"/>
  <c r="K77" i="32"/>
  <c r="K76" i="32"/>
  <c r="K75" i="32"/>
  <c r="K74" i="32"/>
  <c r="L73" i="32"/>
  <c r="N73" i="32" s="1"/>
  <c r="K73" i="32"/>
  <c r="K72" i="32"/>
  <c r="K71" i="32"/>
  <c r="K70" i="32"/>
  <c r="K69" i="32"/>
  <c r="K68" i="32"/>
  <c r="K67" i="32"/>
  <c r="K66" i="32"/>
  <c r="K65" i="32"/>
  <c r="L64" i="32"/>
  <c r="N64" i="32" s="1"/>
  <c r="K64" i="32"/>
  <c r="K63" i="32"/>
  <c r="K62" i="32"/>
  <c r="L61" i="32"/>
  <c r="N61" i="32" s="1"/>
  <c r="K61" i="32"/>
  <c r="K60" i="32"/>
  <c r="K59" i="32"/>
  <c r="K58" i="32"/>
  <c r="K57" i="32"/>
  <c r="K56" i="32"/>
  <c r="L55" i="32"/>
  <c r="N55" i="32" s="1"/>
  <c r="K55" i="32"/>
  <c r="K54" i="32"/>
  <c r="L53" i="32"/>
  <c r="N53" i="32" s="1"/>
  <c r="K53" i="32"/>
  <c r="K52" i="32"/>
  <c r="K51" i="32"/>
  <c r="K50" i="32"/>
  <c r="K49" i="32"/>
  <c r="K48" i="32"/>
  <c r="K47" i="32"/>
  <c r="L46" i="32"/>
  <c r="N46" i="32" s="1"/>
  <c r="K46" i="32"/>
  <c r="K45" i="32"/>
  <c r="K44" i="32"/>
  <c r="K43" i="32"/>
  <c r="K42" i="32"/>
  <c r="L41" i="32"/>
  <c r="N41" i="32" s="1"/>
  <c r="K41" i="32"/>
  <c r="K40" i="32"/>
  <c r="K39" i="32"/>
  <c r="K38" i="32"/>
  <c r="O37" i="32"/>
  <c r="L37" i="32"/>
  <c r="N37" i="32" s="1"/>
  <c r="K37" i="32"/>
  <c r="K36" i="32"/>
  <c r="K35" i="32"/>
  <c r="K34" i="32"/>
  <c r="O33" i="32"/>
  <c r="L33" i="32"/>
  <c r="N33" i="32" s="1"/>
  <c r="K33" i="32"/>
  <c r="K32" i="32"/>
  <c r="K31" i="32"/>
  <c r="L30" i="32"/>
  <c r="N30" i="32" s="1"/>
  <c r="K30" i="32"/>
  <c r="K29" i="32"/>
  <c r="L28" i="32"/>
  <c r="N28" i="32" s="1"/>
  <c r="K28" i="32"/>
  <c r="K27" i="32"/>
  <c r="O26" i="32"/>
  <c r="L26" i="32"/>
  <c r="N26" i="32" s="1"/>
  <c r="K26" i="32"/>
  <c r="K25" i="32"/>
  <c r="L24" i="32"/>
  <c r="N24" i="32" s="1"/>
  <c r="K24" i="32"/>
  <c r="K23" i="32"/>
  <c r="K22" i="32"/>
  <c r="O21" i="32"/>
  <c r="L21" i="32"/>
  <c r="N21" i="32" s="1"/>
  <c r="K21" i="32"/>
  <c r="K20" i="32"/>
  <c r="L19" i="32"/>
  <c r="N19" i="32" s="1"/>
  <c r="K19" i="32"/>
  <c r="J83" i="32"/>
  <c r="I83" i="32"/>
  <c r="H83" i="32"/>
  <c r="G83" i="32"/>
  <c r="K18" i="32"/>
  <c r="K17" i="32"/>
  <c r="K16" i="32"/>
  <c r="K15" i="32"/>
  <c r="K14" i="32"/>
  <c r="K13" i="32"/>
  <c r="L12" i="32"/>
  <c r="N12" i="32" s="1"/>
  <c r="K12" i="32"/>
  <c r="L11" i="32"/>
  <c r="N11" i="32" s="1"/>
  <c r="K11" i="32"/>
  <c r="O10" i="32"/>
  <c r="L10" i="32"/>
  <c r="N10" i="32" s="1"/>
  <c r="K10" i="32"/>
  <c r="K9" i="32"/>
  <c r="K8" i="32"/>
  <c r="K7" i="32"/>
  <c r="K6" i="32"/>
  <c r="L5" i="32"/>
  <c r="K5" i="32"/>
  <c r="L4" i="32"/>
  <c r="K4" i="32"/>
  <c r="F83" i="32"/>
  <c r="E83" i="32"/>
  <c r="D3" i="32"/>
  <c r="C3" i="32"/>
  <c r="L77" i="32" s="1"/>
  <c r="N77" i="32" s="1"/>
  <c r="O77" i="32" s="1"/>
  <c r="AA5" i="24"/>
  <c r="AA6" i="24"/>
  <c r="AA7" i="24"/>
  <c r="AA13" i="24"/>
  <c r="AA14" i="24"/>
  <c r="AA15" i="24"/>
  <c r="AA19" i="24"/>
  <c r="AA21" i="24"/>
  <c r="AA22" i="24"/>
  <c r="AA23" i="24"/>
  <c r="AA29" i="24"/>
  <c r="AA30" i="24"/>
  <c r="AA31" i="24"/>
  <c r="AA32" i="24"/>
  <c r="AA35" i="24"/>
  <c r="AA37" i="24"/>
  <c r="AA38" i="24"/>
  <c r="AA39" i="24"/>
  <c r="AA45" i="24"/>
  <c r="AA46" i="24"/>
  <c r="AA47" i="24"/>
  <c r="AA51" i="24"/>
  <c r="AA53" i="24"/>
  <c r="AA54" i="24"/>
  <c r="AA55" i="24"/>
  <c r="AA61" i="24"/>
  <c r="AA62" i="24"/>
  <c r="AA63" i="24"/>
  <c r="AA64" i="24"/>
  <c r="AA67" i="24"/>
  <c r="AA69" i="24"/>
  <c r="AA70" i="24"/>
  <c r="AA71" i="24"/>
  <c r="AA77" i="24"/>
  <c r="AA78" i="24"/>
  <c r="AA79" i="24"/>
  <c r="AA4" i="24"/>
  <c r="W93" i="24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4" i="20"/>
  <c r="AY5" i="27"/>
  <c r="AY6" i="27"/>
  <c r="AY7" i="27"/>
  <c r="AY8" i="27"/>
  <c r="AY9" i="27"/>
  <c r="AY10" i="27"/>
  <c r="AY11" i="27"/>
  <c r="AY12" i="27"/>
  <c r="AY13" i="27"/>
  <c r="AY14" i="27"/>
  <c r="AY15" i="27"/>
  <c r="AY16" i="27"/>
  <c r="AY17" i="27"/>
  <c r="AY18" i="27"/>
  <c r="AY19" i="27"/>
  <c r="AY20" i="27"/>
  <c r="AY21" i="27"/>
  <c r="AY22" i="27"/>
  <c r="AY23" i="27"/>
  <c r="AY24" i="27"/>
  <c r="AY25" i="27"/>
  <c r="AY26" i="27"/>
  <c r="AY27" i="27"/>
  <c r="AY28" i="27"/>
  <c r="AY29" i="27"/>
  <c r="AY30" i="27"/>
  <c r="AY31" i="27"/>
  <c r="AY32" i="27"/>
  <c r="AY33" i="27"/>
  <c r="AY34" i="27"/>
  <c r="AY35" i="27"/>
  <c r="AY36" i="27"/>
  <c r="AY37" i="27"/>
  <c r="AY38" i="27"/>
  <c r="AY39" i="27"/>
  <c r="AY40" i="27"/>
  <c r="AY41" i="27"/>
  <c r="AY42" i="27"/>
  <c r="AY43" i="27"/>
  <c r="AY44" i="27"/>
  <c r="AY45" i="27"/>
  <c r="AY46" i="27"/>
  <c r="AY47" i="27"/>
  <c r="AY48" i="27"/>
  <c r="AY49" i="27"/>
  <c r="AY50" i="27"/>
  <c r="AY51" i="27"/>
  <c r="AY52" i="27"/>
  <c r="AY53" i="27"/>
  <c r="AY54" i="27"/>
  <c r="AY55" i="27"/>
  <c r="AY56" i="27"/>
  <c r="AY57" i="27"/>
  <c r="AY58" i="27"/>
  <c r="AY59" i="27"/>
  <c r="AY60" i="27"/>
  <c r="AY61" i="27"/>
  <c r="AY62" i="27"/>
  <c r="AY63" i="27"/>
  <c r="AY64" i="27"/>
  <c r="AY65" i="27"/>
  <c r="AY66" i="27"/>
  <c r="AY67" i="27"/>
  <c r="AY68" i="27"/>
  <c r="AY69" i="27"/>
  <c r="AY70" i="27"/>
  <c r="AY71" i="27"/>
  <c r="AY72" i="27"/>
  <c r="AY73" i="27"/>
  <c r="AY74" i="27"/>
  <c r="AY75" i="27"/>
  <c r="AY76" i="27"/>
  <c r="AY77" i="27"/>
  <c r="AY78" i="27"/>
  <c r="AY79" i="27"/>
  <c r="AY80" i="27"/>
  <c r="AY81" i="27"/>
  <c r="AY82" i="27"/>
  <c r="AY4" i="27"/>
  <c r="AA12" i="24" l="1"/>
  <c r="O9" i="32"/>
  <c r="O30" i="32"/>
  <c r="O64" i="32"/>
  <c r="O36" i="32"/>
  <c r="O11" i="32"/>
  <c r="O61" i="32"/>
  <c r="O27" i="32"/>
  <c r="O53" i="32"/>
  <c r="O82" i="32"/>
  <c r="O19" i="32"/>
  <c r="O23" i="32"/>
  <c r="O24" i="32"/>
  <c r="O42" i="32"/>
  <c r="O55" i="32"/>
  <c r="O81" i="32"/>
  <c r="O17" i="32"/>
  <c r="O12" i="32"/>
  <c r="O28" i="32"/>
  <c r="O41" i="32"/>
  <c r="O46" i="32"/>
  <c r="O73" i="32"/>
  <c r="N5" i="32"/>
  <c r="O5" i="32" s="1"/>
  <c r="N4" i="32"/>
  <c r="L13" i="32"/>
  <c r="N13" i="32" s="1"/>
  <c r="O13" i="32" s="1"/>
  <c r="L23" i="32"/>
  <c r="N23" i="32" s="1"/>
  <c r="L35" i="32"/>
  <c r="N35" i="32" s="1"/>
  <c r="O35" i="32" s="1"/>
  <c r="L43" i="32"/>
  <c r="N43" i="32" s="1"/>
  <c r="O43" i="32" s="1"/>
  <c r="L45" i="32"/>
  <c r="N45" i="32" s="1"/>
  <c r="O45" i="32" s="1"/>
  <c r="L57" i="32"/>
  <c r="N57" i="32" s="1"/>
  <c r="O57" i="32" s="1"/>
  <c r="L59" i="32"/>
  <c r="N59" i="32" s="1"/>
  <c r="O59" i="32" s="1"/>
  <c r="L63" i="32"/>
  <c r="N63" i="32" s="1"/>
  <c r="O63" i="32" s="1"/>
  <c r="L74" i="32"/>
  <c r="N74" i="32" s="1"/>
  <c r="O74" i="32" s="1"/>
  <c r="L48" i="32"/>
  <c r="N48" i="32" s="1"/>
  <c r="O48" i="32" s="1"/>
  <c r="L50" i="32"/>
  <c r="N50" i="32" s="1"/>
  <c r="O50" i="32" s="1"/>
  <c r="L66" i="32"/>
  <c r="N66" i="32" s="1"/>
  <c r="O66" i="32" s="1"/>
  <c r="L68" i="32"/>
  <c r="N68" i="32" s="1"/>
  <c r="O68" i="32" s="1"/>
  <c r="L79" i="32"/>
  <c r="N79" i="32" s="1"/>
  <c r="O79" i="32" s="1"/>
  <c r="L9" i="32"/>
  <c r="N9" i="32" s="1"/>
  <c r="L17" i="32"/>
  <c r="N17" i="32" s="1"/>
  <c r="L27" i="32"/>
  <c r="N27" i="32" s="1"/>
  <c r="L29" i="32"/>
  <c r="N29" i="32" s="1"/>
  <c r="O29" i="32" s="1"/>
  <c r="L31" i="32"/>
  <c r="N31" i="32" s="1"/>
  <c r="O31" i="32" s="1"/>
  <c r="L39" i="32"/>
  <c r="N39" i="32" s="1"/>
  <c r="O39" i="32" s="1"/>
  <c r="L49" i="32"/>
  <c r="N49" i="32" s="1"/>
  <c r="O49" i="32" s="1"/>
  <c r="L51" i="32"/>
  <c r="N51" i="32" s="1"/>
  <c r="O51" i="32" s="1"/>
  <c r="L69" i="32"/>
  <c r="N69" i="32" s="1"/>
  <c r="O69" i="32" s="1"/>
  <c r="L71" i="32"/>
  <c r="N71" i="32" s="1"/>
  <c r="O71" i="32" s="1"/>
  <c r="L76" i="32"/>
  <c r="N76" i="32" s="1"/>
  <c r="O76" i="32" s="1"/>
  <c r="L78" i="32"/>
  <c r="N78" i="32" s="1"/>
  <c r="O78" i="32" s="1"/>
  <c r="M83" i="32"/>
  <c r="L16" i="32"/>
  <c r="N16" i="32" s="1"/>
  <c r="O16" i="32" s="1"/>
  <c r="L34" i="32"/>
  <c r="N34" i="32" s="1"/>
  <c r="O34" i="32" s="1"/>
  <c r="L36" i="32"/>
  <c r="N36" i="32" s="1"/>
  <c r="L42" i="32"/>
  <c r="N42" i="32" s="1"/>
  <c r="L44" i="32"/>
  <c r="N44" i="32" s="1"/>
  <c r="O44" i="32" s="1"/>
  <c r="L54" i="32"/>
  <c r="N54" i="32" s="1"/>
  <c r="O54" i="32" s="1"/>
  <c r="L56" i="32"/>
  <c r="N56" i="32" s="1"/>
  <c r="O56" i="32" s="1"/>
  <c r="L58" i="32"/>
  <c r="N58" i="32" s="1"/>
  <c r="O58" i="32" s="1"/>
  <c r="L60" i="32"/>
  <c r="N60" i="32" s="1"/>
  <c r="O60" i="32" s="1"/>
  <c r="L62" i="32"/>
  <c r="N62" i="32" s="1"/>
  <c r="O62" i="32" s="1"/>
  <c r="L22" i="32"/>
  <c r="N22" i="32" s="1"/>
  <c r="O22" i="32" s="1"/>
  <c r="L7" i="32"/>
  <c r="N7" i="32" s="1"/>
  <c r="O7" i="32" s="1"/>
  <c r="L47" i="32"/>
  <c r="N47" i="32" s="1"/>
  <c r="O47" i="32" s="1"/>
  <c r="L65" i="32"/>
  <c r="N65" i="32" s="1"/>
  <c r="O65" i="32" s="1"/>
  <c r="L67" i="32"/>
  <c r="N67" i="32" s="1"/>
  <c r="O67" i="32" s="1"/>
  <c r="L75" i="32"/>
  <c r="N75" i="32" s="1"/>
  <c r="O75" i="32" s="1"/>
  <c r="L80" i="32"/>
  <c r="N80" i="32" s="1"/>
  <c r="O80" i="32" s="1"/>
  <c r="L82" i="32"/>
  <c r="N82" i="32" s="1"/>
  <c r="L8" i="32"/>
  <c r="N8" i="32" s="1"/>
  <c r="O8" i="32" s="1"/>
  <c r="L20" i="32"/>
  <c r="N20" i="32" s="1"/>
  <c r="O20" i="32" s="1"/>
  <c r="L15" i="32"/>
  <c r="N15" i="32" s="1"/>
  <c r="O15" i="32" s="1"/>
  <c r="L25" i="32"/>
  <c r="N25" i="32" s="1"/>
  <c r="O25" i="32" s="1"/>
  <c r="L6" i="32"/>
  <c r="N6" i="32" s="1"/>
  <c r="O6" i="32" s="1"/>
  <c r="L14" i="32"/>
  <c r="N14" i="32" s="1"/>
  <c r="O14" i="32" s="1"/>
  <c r="L18" i="32"/>
  <c r="N18" i="32" s="1"/>
  <c r="O18" i="32" s="1"/>
  <c r="L32" i="32"/>
  <c r="N32" i="32" s="1"/>
  <c r="O32" i="32" s="1"/>
  <c r="L38" i="32"/>
  <c r="N38" i="32" s="1"/>
  <c r="O38" i="32" s="1"/>
  <c r="L40" i="32"/>
  <c r="N40" i="32" s="1"/>
  <c r="O40" i="32" s="1"/>
  <c r="L52" i="32"/>
  <c r="N52" i="32" s="1"/>
  <c r="O52" i="32" s="1"/>
  <c r="L70" i="32"/>
  <c r="N70" i="32" s="1"/>
  <c r="O70" i="32" s="1"/>
  <c r="L72" i="32"/>
  <c r="N72" i="32" s="1"/>
  <c r="O72" i="32" s="1"/>
  <c r="N83" i="32" l="1"/>
  <c r="N85" i="32" s="1"/>
  <c r="O4" i="32"/>
  <c r="O83" i="32" s="1"/>
  <c r="L83" i="32"/>
  <c r="M99" i="27"/>
  <c r="D5" i="19" l="1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4" i="1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62" i="29"/>
  <c r="F63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4" i="29"/>
  <c r="AX84" i="22"/>
  <c r="H89" i="22" l="1"/>
  <c r="Y83" i="24"/>
  <c r="E75" i="30" l="1"/>
  <c r="E67" i="30"/>
  <c r="F61" i="30"/>
  <c r="E60" i="30"/>
  <c r="E52" i="30"/>
  <c r="E46" i="30"/>
  <c r="E44" i="30"/>
  <c r="E38" i="30"/>
  <c r="F37" i="30"/>
  <c r="E31" i="30"/>
  <c r="E29" i="30"/>
  <c r="E23" i="30"/>
  <c r="E21" i="30"/>
  <c r="E15" i="30"/>
  <c r="E13" i="30"/>
  <c r="E7" i="30"/>
  <c r="E5" i="30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D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D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D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G93" i="29"/>
  <c r="P77" i="29" s="1"/>
  <c r="F93" i="29"/>
  <c r="E93" i="29"/>
  <c r="H91" i="29"/>
  <c r="D93" i="29"/>
  <c r="H89" i="29"/>
  <c r="O84" i="29"/>
  <c r="F94" i="29" s="1"/>
  <c r="H84" i="29"/>
  <c r="G84" i="29"/>
  <c r="E84" i="29"/>
  <c r="E85" i="29" s="1"/>
  <c r="D84" i="29"/>
  <c r="D85" i="29" s="1"/>
  <c r="D75" i="27" s="1"/>
  <c r="F83" i="29"/>
  <c r="J83" i="29" s="1"/>
  <c r="J82" i="29"/>
  <c r="J81" i="29"/>
  <c r="J80" i="29"/>
  <c r="J79" i="29"/>
  <c r="J78" i="29"/>
  <c r="J77" i="29"/>
  <c r="J75" i="29"/>
  <c r="J74" i="29"/>
  <c r="J73" i="29"/>
  <c r="J72" i="29"/>
  <c r="P70" i="29"/>
  <c r="J70" i="29"/>
  <c r="J69" i="29"/>
  <c r="J68" i="29"/>
  <c r="J67" i="29"/>
  <c r="J66" i="29"/>
  <c r="J65" i="29"/>
  <c r="J64" i="29"/>
  <c r="J63" i="29"/>
  <c r="P62" i="29"/>
  <c r="J62" i="29"/>
  <c r="J61" i="29"/>
  <c r="J60" i="29"/>
  <c r="J58" i="29"/>
  <c r="J57" i="29"/>
  <c r="J56" i="29"/>
  <c r="P54" i="29"/>
  <c r="J54" i="29"/>
  <c r="J53" i="29"/>
  <c r="J52" i="29"/>
  <c r="J50" i="29"/>
  <c r="J49" i="29"/>
  <c r="J48" i="29"/>
  <c r="J47" i="29"/>
  <c r="P46" i="29"/>
  <c r="J46" i="29"/>
  <c r="J45" i="29"/>
  <c r="J43" i="29"/>
  <c r="J42" i="29"/>
  <c r="J41" i="29"/>
  <c r="J40" i="29"/>
  <c r="J39" i="29"/>
  <c r="P38" i="29"/>
  <c r="J38" i="29"/>
  <c r="J37" i="29"/>
  <c r="J36" i="29"/>
  <c r="J34" i="29"/>
  <c r="J33" i="29"/>
  <c r="J31" i="29"/>
  <c r="J30" i="29"/>
  <c r="J29" i="29"/>
  <c r="J28" i="29"/>
  <c r="J26" i="29"/>
  <c r="J25" i="29"/>
  <c r="J23" i="29"/>
  <c r="J22" i="29"/>
  <c r="J21" i="29"/>
  <c r="J18" i="29"/>
  <c r="J17" i="29"/>
  <c r="J16" i="29"/>
  <c r="J14" i="29"/>
  <c r="J13" i="29"/>
  <c r="J12" i="29"/>
  <c r="J11" i="29"/>
  <c r="J10" i="29"/>
  <c r="J9" i="29"/>
  <c r="J6" i="29"/>
  <c r="J5" i="29"/>
  <c r="N84" i="29"/>
  <c r="M84" i="29"/>
  <c r="C12" i="28"/>
  <c r="E11" i="28"/>
  <c r="E12" i="28" s="1"/>
  <c r="C11" i="28"/>
  <c r="F11" i="28" s="1"/>
  <c r="E10" i="28"/>
  <c r="C10" i="28"/>
  <c r="D9" i="28"/>
  <c r="C9" i="28"/>
  <c r="E8" i="28"/>
  <c r="C8" i="28"/>
  <c r="F8" i="28" s="1"/>
  <c r="E7" i="28"/>
  <c r="C7" i="28"/>
  <c r="F7" i="28" s="1"/>
  <c r="C6" i="28"/>
  <c r="C5" i="28"/>
  <c r="D4" i="28"/>
  <c r="C4" i="28"/>
  <c r="C3" i="28"/>
  <c r="C2" i="28"/>
  <c r="L120" i="27"/>
  <c r="M120" i="27" s="1"/>
  <c r="L119" i="27"/>
  <c r="K119" i="27"/>
  <c r="E110" i="27"/>
  <c r="AN109" i="27"/>
  <c r="AM109" i="27"/>
  <c r="M103" i="27"/>
  <c r="I103" i="27"/>
  <c r="J103" i="27" s="1"/>
  <c r="K103" i="27" s="1"/>
  <c r="L103" i="27" s="1"/>
  <c r="I102" i="27"/>
  <c r="J102" i="27" s="1"/>
  <c r="K102" i="27" s="1"/>
  <c r="L102" i="27" s="1"/>
  <c r="M102" i="27" s="1"/>
  <c r="AO106" i="27" s="1"/>
  <c r="H102" i="27"/>
  <c r="I101" i="27"/>
  <c r="J101" i="27" s="1"/>
  <c r="K101" i="27" s="1"/>
  <c r="L101" i="27" s="1"/>
  <c r="M101" i="27" s="1"/>
  <c r="H101" i="27"/>
  <c r="I100" i="27"/>
  <c r="J100" i="27" s="1"/>
  <c r="K100" i="27" s="1"/>
  <c r="L100" i="27" s="1"/>
  <c r="M100" i="27" s="1"/>
  <c r="H100" i="27"/>
  <c r="M98" i="27"/>
  <c r="K98" i="27"/>
  <c r="H98" i="27"/>
  <c r="L98" i="27" s="1"/>
  <c r="E97" i="27"/>
  <c r="F97" i="27" s="1"/>
  <c r="E96" i="27"/>
  <c r="F96" i="27" s="1"/>
  <c r="G96" i="27" s="1"/>
  <c r="M95" i="27"/>
  <c r="E93" i="27"/>
  <c r="F93" i="27" s="1"/>
  <c r="G93" i="27" s="1"/>
  <c r="H93" i="27" s="1"/>
  <c r="F92" i="27"/>
  <c r="G92" i="27" s="1"/>
  <c r="H92" i="27" s="1"/>
  <c r="E92" i="27"/>
  <c r="L91" i="27"/>
  <c r="M91" i="27" s="1"/>
  <c r="E9" i="28" s="1"/>
  <c r="I91" i="27"/>
  <c r="J91" i="27" s="1"/>
  <c r="K91" i="27" s="1"/>
  <c r="H91" i="27"/>
  <c r="AX90" i="27"/>
  <c r="I90" i="27"/>
  <c r="J90" i="27" s="1"/>
  <c r="K90" i="27" s="1"/>
  <c r="L90" i="27" s="1"/>
  <c r="H90" i="27"/>
  <c r="L89" i="27"/>
  <c r="M89" i="27" s="1"/>
  <c r="E4" i="28" s="1"/>
  <c r="I89" i="27"/>
  <c r="J89" i="27" s="1"/>
  <c r="K89" i="27" s="1"/>
  <c r="H89" i="27"/>
  <c r="H88" i="27"/>
  <c r="E88" i="27"/>
  <c r="F88" i="27" s="1"/>
  <c r="G88" i="27" s="1"/>
  <c r="H87" i="27"/>
  <c r="G87" i="27"/>
  <c r="F87" i="27"/>
  <c r="E87" i="27"/>
  <c r="BC84" i="27"/>
  <c r="BB83" i="27"/>
  <c r="BC95" i="27" s="1"/>
  <c r="AW83" i="27"/>
  <c r="AR83" i="27"/>
  <c r="AH83" i="27"/>
  <c r="AG83" i="27"/>
  <c r="AF83" i="27"/>
  <c r="AE83" i="27"/>
  <c r="AD83" i="27"/>
  <c r="AB83" i="27"/>
  <c r="X83" i="27"/>
  <c r="W83" i="27"/>
  <c r="V83" i="27"/>
  <c r="U83" i="27"/>
  <c r="R83" i="27"/>
  <c r="P83" i="27"/>
  <c r="O83" i="27"/>
  <c r="N83" i="27"/>
  <c r="M83" i="27"/>
  <c r="L83" i="27"/>
  <c r="AQ82" i="27"/>
  <c r="AI82" i="27"/>
  <c r="S82" i="27"/>
  <c r="AQ81" i="27"/>
  <c r="AI81" i="27"/>
  <c r="S81" i="27"/>
  <c r="AQ80" i="27"/>
  <c r="AI80" i="27"/>
  <c r="S80" i="27"/>
  <c r="AS79" i="27"/>
  <c r="E79" i="30" s="1"/>
  <c r="AQ79" i="27"/>
  <c r="AI79" i="27"/>
  <c r="S79" i="27"/>
  <c r="AQ78" i="27"/>
  <c r="AI78" i="27"/>
  <c r="S78" i="27"/>
  <c r="AQ77" i="27"/>
  <c r="AI77" i="27"/>
  <c r="S77" i="27"/>
  <c r="AQ76" i="27"/>
  <c r="AI76" i="27"/>
  <c r="S76" i="27"/>
  <c r="AS75" i="27"/>
  <c r="AQ75" i="27"/>
  <c r="AI75" i="27"/>
  <c r="S75" i="27"/>
  <c r="AQ74" i="27"/>
  <c r="AI74" i="27"/>
  <c r="S74" i="27"/>
  <c r="AQ73" i="27"/>
  <c r="AI73" i="27"/>
  <c r="S73" i="27"/>
  <c r="AQ72" i="27"/>
  <c r="AI72" i="27"/>
  <c r="S72" i="27"/>
  <c r="AS71" i="27"/>
  <c r="E71" i="30" s="1"/>
  <c r="AQ71" i="27"/>
  <c r="AI71" i="27"/>
  <c r="S71" i="27"/>
  <c r="AQ70" i="27"/>
  <c r="AI70" i="27"/>
  <c r="S70" i="27"/>
  <c r="AQ69" i="27"/>
  <c r="AN69" i="27"/>
  <c r="AM69" i="27"/>
  <c r="AI69" i="27"/>
  <c r="S69" i="27"/>
  <c r="AS68" i="27"/>
  <c r="E68" i="30" s="1"/>
  <c r="AQ68" i="27"/>
  <c r="AI68" i="27"/>
  <c r="S68" i="27"/>
  <c r="AS67" i="27"/>
  <c r="AQ67" i="27"/>
  <c r="AI67" i="27"/>
  <c r="S67" i="27"/>
  <c r="AS66" i="27"/>
  <c r="E66" i="30" s="1"/>
  <c r="AQ66" i="27"/>
  <c r="AI66" i="27"/>
  <c r="S66" i="27"/>
  <c r="AS65" i="27"/>
  <c r="E65" i="30" s="1"/>
  <c r="AQ65" i="27"/>
  <c r="AI65" i="27"/>
  <c r="S65" i="27"/>
  <c r="AS64" i="27"/>
  <c r="E64" i="30" s="1"/>
  <c r="AQ64" i="27"/>
  <c r="AI64" i="27"/>
  <c r="S64" i="27"/>
  <c r="AS63" i="27"/>
  <c r="E63" i="30" s="1"/>
  <c r="AQ63" i="27"/>
  <c r="AI63" i="27"/>
  <c r="S63" i="27"/>
  <c r="AS62" i="27"/>
  <c r="E62" i="30" s="1"/>
  <c r="AQ62" i="27"/>
  <c r="AN62" i="27"/>
  <c r="AM62" i="27"/>
  <c r="AI62" i="27"/>
  <c r="S62" i="27"/>
  <c r="AS61" i="27"/>
  <c r="E61" i="30" s="1"/>
  <c r="AQ61" i="27"/>
  <c r="AN61" i="27"/>
  <c r="AI61" i="27"/>
  <c r="S61" i="27"/>
  <c r="AM61" i="27" s="1"/>
  <c r="AS60" i="27"/>
  <c r="AQ60" i="27"/>
  <c r="AN60" i="27"/>
  <c r="AM60" i="27"/>
  <c r="AI60" i="27"/>
  <c r="S60" i="27"/>
  <c r="AQ59" i="27"/>
  <c r="AI59" i="27"/>
  <c r="S59" i="27"/>
  <c r="AS58" i="27"/>
  <c r="E58" i="30" s="1"/>
  <c r="AQ58" i="27"/>
  <c r="AI58" i="27"/>
  <c r="S58" i="27"/>
  <c r="AS57" i="27"/>
  <c r="E57" i="30" s="1"/>
  <c r="AQ57" i="27"/>
  <c r="AI57" i="27"/>
  <c r="S57" i="27"/>
  <c r="AS56" i="27"/>
  <c r="E56" i="30" s="1"/>
  <c r="AQ56" i="27"/>
  <c r="AI56" i="27"/>
  <c r="S56" i="27"/>
  <c r="AQ55" i="27"/>
  <c r="AI55" i="27"/>
  <c r="S55" i="27"/>
  <c r="AS54" i="27"/>
  <c r="E54" i="30" s="1"/>
  <c r="AQ54" i="27"/>
  <c r="AI54" i="27"/>
  <c r="S54" i="27"/>
  <c r="AS53" i="27"/>
  <c r="E53" i="30" s="1"/>
  <c r="AQ53" i="27"/>
  <c r="AN53" i="27"/>
  <c r="AM53" i="27"/>
  <c r="AI53" i="27"/>
  <c r="S53" i="27"/>
  <c r="AS52" i="27"/>
  <c r="AQ52" i="27"/>
  <c r="AI52" i="27"/>
  <c r="S52" i="27"/>
  <c r="AS51" i="27"/>
  <c r="E51" i="30" s="1"/>
  <c r="AQ51" i="27"/>
  <c r="AI51" i="27"/>
  <c r="S51" i="27"/>
  <c r="AS50" i="27"/>
  <c r="E50" i="30" s="1"/>
  <c r="AQ50" i="27"/>
  <c r="AN50" i="27"/>
  <c r="AI50" i="27"/>
  <c r="S50" i="27"/>
  <c r="AM50" i="27" s="1"/>
  <c r="AS49" i="27"/>
  <c r="E49" i="30" s="1"/>
  <c r="AQ49" i="27"/>
  <c r="AI49" i="27"/>
  <c r="S49" i="27"/>
  <c r="AS48" i="27"/>
  <c r="E48" i="30" s="1"/>
  <c r="AQ48" i="27"/>
  <c r="AI48" i="27"/>
  <c r="S48" i="27"/>
  <c r="AS47" i="27"/>
  <c r="E47" i="30" s="1"/>
  <c r="AQ47" i="27"/>
  <c r="AI47" i="27"/>
  <c r="S47" i="27"/>
  <c r="AS46" i="27"/>
  <c r="AQ46" i="27"/>
  <c r="AI46" i="27"/>
  <c r="S46" i="27"/>
  <c r="AS45" i="27"/>
  <c r="E45" i="30" s="1"/>
  <c r="AQ45" i="27"/>
  <c r="AI45" i="27"/>
  <c r="S45" i="27"/>
  <c r="AS44" i="27"/>
  <c r="AQ44" i="27"/>
  <c r="AI44" i="27"/>
  <c r="S44" i="27"/>
  <c r="AS43" i="27"/>
  <c r="E43" i="30" s="1"/>
  <c r="AQ43" i="27"/>
  <c r="AI43" i="27"/>
  <c r="S43" i="27"/>
  <c r="AS42" i="27"/>
  <c r="E42" i="30" s="1"/>
  <c r="AQ42" i="27"/>
  <c r="AI42" i="27"/>
  <c r="S42" i="27"/>
  <c r="AS41" i="27"/>
  <c r="E41" i="30" s="1"/>
  <c r="AQ41" i="27"/>
  <c r="AI41" i="27"/>
  <c r="S41" i="27"/>
  <c r="AS40" i="27"/>
  <c r="E40" i="30" s="1"/>
  <c r="AQ40" i="27"/>
  <c r="AI40" i="27"/>
  <c r="S40" i="27"/>
  <c r="AS39" i="27"/>
  <c r="E39" i="30" s="1"/>
  <c r="AQ39" i="27"/>
  <c r="AI39" i="27"/>
  <c r="S39" i="27"/>
  <c r="AS38" i="27"/>
  <c r="AQ38" i="27"/>
  <c r="AI38" i="27"/>
  <c r="S38" i="27"/>
  <c r="AS37" i="27"/>
  <c r="E37" i="30" s="1"/>
  <c r="AQ37" i="27"/>
  <c r="AN37" i="27"/>
  <c r="AI37" i="27"/>
  <c r="S37" i="27"/>
  <c r="AM37" i="27" s="1"/>
  <c r="AS36" i="27"/>
  <c r="E36" i="30" s="1"/>
  <c r="AQ36" i="27"/>
  <c r="AI36" i="27"/>
  <c r="S36" i="27"/>
  <c r="AS35" i="27"/>
  <c r="E35" i="30" s="1"/>
  <c r="AQ35" i="27"/>
  <c r="AI35" i="27"/>
  <c r="S35" i="27"/>
  <c r="AS34" i="27"/>
  <c r="E34" i="30" s="1"/>
  <c r="AQ34" i="27"/>
  <c r="AI34" i="27"/>
  <c r="S34" i="27"/>
  <c r="AS33" i="27"/>
  <c r="E33" i="30" s="1"/>
  <c r="AQ33" i="27"/>
  <c r="AI33" i="27"/>
  <c r="S33" i="27"/>
  <c r="AS32" i="27"/>
  <c r="E32" i="30" s="1"/>
  <c r="AQ32" i="27"/>
  <c r="AI32" i="27"/>
  <c r="S32" i="27"/>
  <c r="AS31" i="27"/>
  <c r="AQ31" i="27"/>
  <c r="AI31" i="27"/>
  <c r="S31" i="27"/>
  <c r="AS30" i="27"/>
  <c r="E30" i="30" s="1"/>
  <c r="AQ30" i="27"/>
  <c r="AI30" i="27"/>
  <c r="S30" i="27"/>
  <c r="AS29" i="27"/>
  <c r="AQ29" i="27"/>
  <c r="AI29" i="27"/>
  <c r="S29" i="27"/>
  <c r="AS28" i="27"/>
  <c r="E28" i="30" s="1"/>
  <c r="AQ28" i="27"/>
  <c r="AI28" i="27"/>
  <c r="S28" i="27"/>
  <c r="AS27" i="27"/>
  <c r="E27" i="30" s="1"/>
  <c r="AQ27" i="27"/>
  <c r="AI27" i="27"/>
  <c r="S27" i="27"/>
  <c r="AS26" i="27"/>
  <c r="E26" i="30" s="1"/>
  <c r="AQ26" i="27"/>
  <c r="AI26" i="27"/>
  <c r="S26" i="27"/>
  <c r="AS25" i="27"/>
  <c r="E25" i="30" s="1"/>
  <c r="AQ25" i="27"/>
  <c r="AI25" i="27"/>
  <c r="S25" i="27"/>
  <c r="AS24" i="27"/>
  <c r="E24" i="30" s="1"/>
  <c r="AQ24" i="27"/>
  <c r="AI24" i="27"/>
  <c r="S24" i="27"/>
  <c r="AS23" i="27"/>
  <c r="AQ23" i="27"/>
  <c r="AI23" i="27"/>
  <c r="S23" i="27"/>
  <c r="AS22" i="27"/>
  <c r="E22" i="30" s="1"/>
  <c r="AQ22" i="27"/>
  <c r="AI22" i="27"/>
  <c r="S22" i="27"/>
  <c r="AS21" i="27"/>
  <c r="AQ21" i="27"/>
  <c r="AI21" i="27"/>
  <c r="S21" i="27"/>
  <c r="AS20" i="27"/>
  <c r="E20" i="30" s="1"/>
  <c r="AQ20" i="27"/>
  <c r="AN20" i="27"/>
  <c r="AM20" i="27"/>
  <c r="AI20" i="27"/>
  <c r="S20" i="27"/>
  <c r="AS19" i="27"/>
  <c r="E19" i="30" s="1"/>
  <c r="AQ19" i="27"/>
  <c r="AN19" i="27"/>
  <c r="AM19" i="27"/>
  <c r="AI19" i="27"/>
  <c r="S19" i="27"/>
  <c r="AS18" i="27"/>
  <c r="E18" i="30" s="1"/>
  <c r="AQ18" i="27"/>
  <c r="AN18" i="27"/>
  <c r="AM18" i="27"/>
  <c r="AI18" i="27"/>
  <c r="S18" i="27"/>
  <c r="AS17" i="27"/>
  <c r="E17" i="30" s="1"/>
  <c r="AQ17" i="27"/>
  <c r="AI17" i="27"/>
  <c r="S17" i="27"/>
  <c r="AS16" i="27"/>
  <c r="E16" i="30" s="1"/>
  <c r="AQ16" i="27"/>
  <c r="AI16" i="27"/>
  <c r="S16" i="27"/>
  <c r="AS15" i="27"/>
  <c r="AQ15" i="27"/>
  <c r="AI15" i="27"/>
  <c r="S15" i="27"/>
  <c r="AS14" i="27"/>
  <c r="E14" i="30" s="1"/>
  <c r="AQ14" i="27"/>
  <c r="AI14" i="27"/>
  <c r="S14" i="27"/>
  <c r="AS13" i="27"/>
  <c r="AQ13" i="27"/>
  <c r="AI13" i="27"/>
  <c r="S13" i="27"/>
  <c r="AS12" i="27"/>
  <c r="E12" i="30" s="1"/>
  <c r="AQ12" i="27"/>
  <c r="AN12" i="27"/>
  <c r="AM12" i="27"/>
  <c r="AI12" i="27"/>
  <c r="S12" i="27"/>
  <c r="AS11" i="27"/>
  <c r="E11" i="30" s="1"/>
  <c r="AQ11" i="27"/>
  <c r="AI11" i="27"/>
  <c r="S11" i="27"/>
  <c r="AS10" i="27"/>
  <c r="E10" i="30" s="1"/>
  <c r="AQ10" i="27"/>
  <c r="AN10" i="27"/>
  <c r="AM10" i="27"/>
  <c r="AI10" i="27"/>
  <c r="S10" i="27"/>
  <c r="AS9" i="27"/>
  <c r="E9" i="30" s="1"/>
  <c r="AQ9" i="27"/>
  <c r="AI9" i="27"/>
  <c r="S9" i="27"/>
  <c r="AS8" i="27"/>
  <c r="E8" i="30" s="1"/>
  <c r="AQ8" i="27"/>
  <c r="AI8" i="27"/>
  <c r="S8" i="27"/>
  <c r="AS7" i="27"/>
  <c r="AQ7" i="27"/>
  <c r="AI7" i="27"/>
  <c r="S7" i="27"/>
  <c r="AS6" i="27"/>
  <c r="E6" i="30" s="1"/>
  <c r="AQ6" i="27"/>
  <c r="AI6" i="27"/>
  <c r="S6" i="27"/>
  <c r="AS5" i="27"/>
  <c r="AQ5" i="27"/>
  <c r="AI5" i="27"/>
  <c r="S5" i="27"/>
  <c r="AS4" i="27"/>
  <c r="E4" i="30" s="1"/>
  <c r="AI4" i="27"/>
  <c r="S4" i="27"/>
  <c r="D12" i="27" l="1"/>
  <c r="D25" i="27"/>
  <c r="D44" i="27"/>
  <c r="D57" i="27"/>
  <c r="D9" i="27"/>
  <c r="D28" i="27"/>
  <c r="D41" i="27"/>
  <c r="D60" i="27"/>
  <c r="D68" i="27"/>
  <c r="D4" i="27"/>
  <c r="D17" i="27"/>
  <c r="D36" i="27"/>
  <c r="D49" i="27"/>
  <c r="D76" i="27"/>
  <c r="E80" i="27"/>
  <c r="E72" i="27"/>
  <c r="E64" i="27"/>
  <c r="E56" i="27"/>
  <c r="E48" i="27"/>
  <c r="E40" i="27"/>
  <c r="E32" i="27"/>
  <c r="E24" i="27"/>
  <c r="E16" i="27"/>
  <c r="E8" i="27"/>
  <c r="E73" i="27"/>
  <c r="E57" i="27"/>
  <c r="E33" i="27"/>
  <c r="E25" i="27"/>
  <c r="E77" i="27"/>
  <c r="E69" i="27"/>
  <c r="E61" i="27"/>
  <c r="E53" i="27"/>
  <c r="E45" i="27"/>
  <c r="E37" i="27"/>
  <c r="E29" i="27"/>
  <c r="E21" i="27"/>
  <c r="E13" i="27"/>
  <c r="E5" i="27"/>
  <c r="E82" i="27"/>
  <c r="E74" i="27"/>
  <c r="E66" i="27"/>
  <c r="E58" i="27"/>
  <c r="E50" i="27"/>
  <c r="E42" i="27"/>
  <c r="E34" i="27"/>
  <c r="E26" i="27"/>
  <c r="E18" i="27"/>
  <c r="E10" i="27"/>
  <c r="E17" i="27"/>
  <c r="E79" i="27"/>
  <c r="E71" i="27"/>
  <c r="E63" i="27"/>
  <c r="E55" i="27"/>
  <c r="E47" i="27"/>
  <c r="E39" i="27"/>
  <c r="E31" i="27"/>
  <c r="E23" i="27"/>
  <c r="E15" i="27"/>
  <c r="E7" i="27"/>
  <c r="E49" i="27"/>
  <c r="E41" i="27"/>
  <c r="E9" i="27"/>
  <c r="E76" i="27"/>
  <c r="E68" i="27"/>
  <c r="E60" i="27"/>
  <c r="E52" i="27"/>
  <c r="E44" i="27"/>
  <c r="E36" i="27"/>
  <c r="E28" i="27"/>
  <c r="E20" i="27"/>
  <c r="E12" i="27"/>
  <c r="E4" i="27"/>
  <c r="E81" i="27"/>
  <c r="E78" i="27"/>
  <c r="E70" i="27"/>
  <c r="E62" i="27"/>
  <c r="E54" i="27"/>
  <c r="E46" i="27"/>
  <c r="E38" i="27"/>
  <c r="E30" i="27"/>
  <c r="E22" i="27"/>
  <c r="E14" i="27"/>
  <c r="E6" i="27"/>
  <c r="E75" i="27"/>
  <c r="E67" i="27"/>
  <c r="E59" i="27"/>
  <c r="E51" i="27"/>
  <c r="E43" i="27"/>
  <c r="E35" i="27"/>
  <c r="E27" i="27"/>
  <c r="E19" i="27"/>
  <c r="E11" i="27"/>
  <c r="E65" i="27"/>
  <c r="P71" i="29"/>
  <c r="D6" i="27"/>
  <c r="D14" i="27"/>
  <c r="D22" i="27"/>
  <c r="D30" i="27"/>
  <c r="D38" i="27"/>
  <c r="D46" i="27"/>
  <c r="D54" i="27"/>
  <c r="D62" i="27"/>
  <c r="D70" i="27"/>
  <c r="D78" i="27"/>
  <c r="D65" i="27"/>
  <c r="D73" i="27"/>
  <c r="D81" i="27"/>
  <c r="P30" i="29"/>
  <c r="D7" i="27"/>
  <c r="D15" i="27"/>
  <c r="D23" i="27"/>
  <c r="D31" i="27"/>
  <c r="D39" i="27"/>
  <c r="D47" i="27"/>
  <c r="D55" i="27"/>
  <c r="D63" i="27"/>
  <c r="D71" i="27"/>
  <c r="D79" i="27"/>
  <c r="P22" i="29"/>
  <c r="D10" i="27"/>
  <c r="D18" i="27"/>
  <c r="D26" i="27"/>
  <c r="D34" i="27"/>
  <c r="D42" i="27"/>
  <c r="D50" i="27"/>
  <c r="D58" i="27"/>
  <c r="D66" i="27"/>
  <c r="D74" i="27"/>
  <c r="D82" i="27"/>
  <c r="D5" i="27"/>
  <c r="D13" i="27"/>
  <c r="D21" i="27"/>
  <c r="D29" i="27"/>
  <c r="D37" i="27"/>
  <c r="D45" i="27"/>
  <c r="D53" i="27"/>
  <c r="D61" i="27"/>
  <c r="D69" i="27"/>
  <c r="D77" i="27"/>
  <c r="P14" i="29"/>
  <c r="D8" i="27"/>
  <c r="D16" i="27"/>
  <c r="D24" i="27"/>
  <c r="D32" i="27"/>
  <c r="D40" i="27"/>
  <c r="D48" i="27"/>
  <c r="D56" i="27"/>
  <c r="D64" i="27"/>
  <c r="D72" i="27"/>
  <c r="D80" i="27"/>
  <c r="P6" i="29"/>
  <c r="D11" i="27"/>
  <c r="D19" i="27"/>
  <c r="D27" i="27"/>
  <c r="D35" i="27"/>
  <c r="D43" i="27"/>
  <c r="D51" i="27"/>
  <c r="D59" i="27"/>
  <c r="D67" i="27"/>
  <c r="S83" i="27"/>
  <c r="J7" i="29"/>
  <c r="J76" i="29"/>
  <c r="J8" i="29"/>
  <c r="J44" i="29"/>
  <c r="J71" i="29"/>
  <c r="J51" i="29"/>
  <c r="J59" i="29"/>
  <c r="J24" i="29"/>
  <c r="J32" i="29"/>
  <c r="J20" i="29"/>
  <c r="J19" i="29"/>
  <c r="J15" i="29"/>
  <c r="J27" i="29"/>
  <c r="J35" i="29"/>
  <c r="J55" i="29"/>
  <c r="AM83" i="27"/>
  <c r="F4" i="28"/>
  <c r="F9" i="28"/>
  <c r="F10" i="28"/>
  <c r="J4" i="29"/>
  <c r="F84" i="29"/>
  <c r="F85" i="29" s="1"/>
  <c r="F55" i="27" s="1"/>
  <c r="K55" i="27" s="1"/>
  <c r="P31" i="29"/>
  <c r="P63" i="29"/>
  <c r="P8" i="29"/>
  <c r="P16" i="29"/>
  <c r="P24" i="29"/>
  <c r="P32" i="29"/>
  <c r="P40" i="29"/>
  <c r="P48" i="29"/>
  <c r="P56" i="29"/>
  <c r="P64" i="29"/>
  <c r="P72" i="29"/>
  <c r="P80" i="29"/>
  <c r="H93" i="29"/>
  <c r="P78" i="29"/>
  <c r="P79" i="29"/>
  <c r="P9" i="29"/>
  <c r="P17" i="29"/>
  <c r="P25" i="29"/>
  <c r="P33" i="29"/>
  <c r="P41" i="29"/>
  <c r="P49" i="29"/>
  <c r="P57" i="29"/>
  <c r="P65" i="29"/>
  <c r="P73" i="29"/>
  <c r="P81" i="29"/>
  <c r="P15" i="29"/>
  <c r="P10" i="29"/>
  <c r="P18" i="29"/>
  <c r="P26" i="29"/>
  <c r="P34" i="29"/>
  <c r="P42" i="29"/>
  <c r="P50" i="29"/>
  <c r="P58" i="29"/>
  <c r="P66" i="29"/>
  <c r="P74" i="29"/>
  <c r="P82" i="29"/>
  <c r="P11" i="29"/>
  <c r="P19" i="29"/>
  <c r="P27" i="29"/>
  <c r="P35" i="29"/>
  <c r="P43" i="29"/>
  <c r="P51" i="29"/>
  <c r="P59" i="29"/>
  <c r="P67" i="29"/>
  <c r="P75" i="29"/>
  <c r="P39" i="29"/>
  <c r="P4" i="29"/>
  <c r="P12" i="29"/>
  <c r="P20" i="29"/>
  <c r="P28" i="29"/>
  <c r="P36" i="29"/>
  <c r="P44" i="29"/>
  <c r="P52" i="29"/>
  <c r="P60" i="29"/>
  <c r="P68" i="29"/>
  <c r="P76" i="29"/>
  <c r="I84" i="29"/>
  <c r="P7" i="29"/>
  <c r="P23" i="29"/>
  <c r="P47" i="29"/>
  <c r="P55" i="29"/>
  <c r="P5" i="29"/>
  <c r="P13" i="29"/>
  <c r="P21" i="29"/>
  <c r="P29" i="29"/>
  <c r="P37" i="29"/>
  <c r="P45" i="29"/>
  <c r="P53" i="29"/>
  <c r="P61" i="29"/>
  <c r="P69" i="29"/>
  <c r="F12" i="28"/>
  <c r="I93" i="27"/>
  <c r="J93" i="27" s="1"/>
  <c r="K93" i="27" s="1"/>
  <c r="L93" i="27" s="1"/>
  <c r="M93" i="27" s="1"/>
  <c r="E6" i="28" s="1"/>
  <c r="F6" i="28" s="1"/>
  <c r="I92" i="27"/>
  <c r="J92" i="27" s="1"/>
  <c r="K92" i="27" s="1"/>
  <c r="L92" i="27" s="1"/>
  <c r="M92" i="27" s="1"/>
  <c r="E5" i="28" s="1"/>
  <c r="F5" i="28" s="1"/>
  <c r="I87" i="27"/>
  <c r="J87" i="27" s="1"/>
  <c r="K87" i="27" s="1"/>
  <c r="L87" i="27" s="1"/>
  <c r="M87" i="27" s="1"/>
  <c r="E2" i="28" s="1"/>
  <c r="F2" i="28" s="1"/>
  <c r="AZ83" i="27"/>
  <c r="AT75" i="27"/>
  <c r="AI83" i="27"/>
  <c r="AP83" i="27"/>
  <c r="AQ4" i="27"/>
  <c r="AQ83" i="27" s="1"/>
  <c r="BC92" i="27" s="1"/>
  <c r="G83" i="27"/>
  <c r="I83" i="27"/>
  <c r="AT32" i="27"/>
  <c r="AT42" i="27"/>
  <c r="AT13" i="27"/>
  <c r="Q83" i="27"/>
  <c r="AT36" i="27" s="1"/>
  <c r="AY83" i="27"/>
  <c r="AT54" i="27"/>
  <c r="AT61" i="27"/>
  <c r="AO96" i="27"/>
  <c r="AP96" i="27" s="1"/>
  <c r="AO105" i="27"/>
  <c r="AO18" i="27" s="1"/>
  <c r="AO92" i="27"/>
  <c r="AP92" i="27" s="1"/>
  <c r="AO108" i="27"/>
  <c r="AP108" i="27" s="1"/>
  <c r="AO94" i="27"/>
  <c r="AO53" i="27" s="1"/>
  <c r="AO104" i="27"/>
  <c r="AP104" i="27" s="1"/>
  <c r="AO107" i="27"/>
  <c r="AO10" i="27" s="1"/>
  <c r="AO102" i="27"/>
  <c r="AO37" i="27" s="1"/>
  <c r="AO101" i="27"/>
  <c r="AP101" i="27" s="1"/>
  <c r="AO100" i="27"/>
  <c r="AP100" i="27" s="1"/>
  <c r="AO99" i="27"/>
  <c r="AO20" i="27" s="1"/>
  <c r="AO103" i="27"/>
  <c r="AP103" i="27" s="1"/>
  <c r="AO93" i="27"/>
  <c r="AP93" i="27" s="1"/>
  <c r="AO95" i="27"/>
  <c r="AO69" i="27" s="1"/>
  <c r="AO98" i="27"/>
  <c r="AP98" i="27" s="1"/>
  <c r="AO97" i="27"/>
  <c r="AP97" i="27" s="1"/>
  <c r="H83" i="27"/>
  <c r="BD83" i="27"/>
  <c r="J83" i="27"/>
  <c r="AN83" i="27"/>
  <c r="AT55" i="27"/>
  <c r="L97" i="27"/>
  <c r="K97" i="27"/>
  <c r="J97" i="27"/>
  <c r="I97" i="27"/>
  <c r="H97" i="27"/>
  <c r="G97" i="27"/>
  <c r="AP106" i="27"/>
  <c r="I88" i="27"/>
  <c r="J88" i="27" s="1"/>
  <c r="K88" i="27" s="1"/>
  <c r="L88" i="27" s="1"/>
  <c r="M88" i="27" s="1"/>
  <c r="E3" i="28" s="1"/>
  <c r="F3" i="28" s="1"/>
  <c r="M119" i="27"/>
  <c r="AT74" i="27"/>
  <c r="AT82" i="27"/>
  <c r="AS80" i="27"/>
  <c r="E80" i="30" s="1"/>
  <c r="AS76" i="27"/>
  <c r="E76" i="30" s="1"/>
  <c r="AS72" i="27"/>
  <c r="E72" i="30" s="1"/>
  <c r="AS59" i="27"/>
  <c r="E59" i="30" s="1"/>
  <c r="AS55" i="27"/>
  <c r="AS81" i="27"/>
  <c r="E81" i="30" s="1"/>
  <c r="AS77" i="27"/>
  <c r="E77" i="30" s="1"/>
  <c r="AS73" i="27"/>
  <c r="E73" i="30" s="1"/>
  <c r="AS69" i="27"/>
  <c r="E69" i="30" s="1"/>
  <c r="AS82" i="27"/>
  <c r="E82" i="30" s="1"/>
  <c r="AS78" i="27"/>
  <c r="E78" i="30" s="1"/>
  <c r="AS74" i="27"/>
  <c r="E74" i="30" s="1"/>
  <c r="AS70" i="27"/>
  <c r="E70" i="30" s="1"/>
  <c r="AT64" i="27"/>
  <c r="AT78" i="27"/>
  <c r="AM110" i="27"/>
  <c r="AN110" i="27"/>
  <c r="AT68" i="27"/>
  <c r="I98" i="27"/>
  <c r="J98" i="27"/>
  <c r="D83" i="27" l="1"/>
  <c r="E83" i="27"/>
  <c r="AP102" i="27"/>
  <c r="AO61" i="27"/>
  <c r="AP105" i="27"/>
  <c r="AP107" i="27"/>
  <c r="D40" i="30"/>
  <c r="AT33" i="27"/>
  <c r="AT30" i="27"/>
  <c r="AT27" i="27"/>
  <c r="AT40" i="27"/>
  <c r="AT45" i="27"/>
  <c r="AT23" i="27"/>
  <c r="AT37" i="27"/>
  <c r="AT24" i="27"/>
  <c r="AS83" i="27"/>
  <c r="E55" i="30"/>
  <c r="E83" i="30" s="1"/>
  <c r="AO12" i="27"/>
  <c r="D44" i="30"/>
  <c r="D29" i="30"/>
  <c r="D8" i="30"/>
  <c r="D82" i="30"/>
  <c r="D50" i="30"/>
  <c r="D38" i="30"/>
  <c r="D34" i="30"/>
  <c r="D78" i="30"/>
  <c r="D12" i="30"/>
  <c r="D76" i="30"/>
  <c r="D64" i="30"/>
  <c r="D47" i="30"/>
  <c r="D45" i="30"/>
  <c r="D48" i="30"/>
  <c r="D7" i="30"/>
  <c r="F36" i="27"/>
  <c r="K36" i="27" s="1"/>
  <c r="F20" i="27"/>
  <c r="K20" i="27" s="1"/>
  <c r="F39" i="27"/>
  <c r="K39" i="27" s="1"/>
  <c r="F13" i="27"/>
  <c r="K13" i="27" s="1"/>
  <c r="F15" i="27"/>
  <c r="K15" i="27" s="1"/>
  <c r="F80" i="27"/>
  <c r="K80" i="27" s="1"/>
  <c r="F56" i="27"/>
  <c r="K56" i="27" s="1"/>
  <c r="F28" i="27"/>
  <c r="K28" i="27" s="1"/>
  <c r="D71" i="30"/>
  <c r="F46" i="27"/>
  <c r="K46" i="27" s="1"/>
  <c r="D42" i="30"/>
  <c r="F4" i="27"/>
  <c r="D37" i="30"/>
  <c r="F24" i="27"/>
  <c r="K24" i="27" s="1"/>
  <c r="D23" i="30"/>
  <c r="D56" i="30"/>
  <c r="F79" i="27"/>
  <c r="K79" i="27" s="1"/>
  <c r="F44" i="27"/>
  <c r="K44" i="27" s="1"/>
  <c r="F62" i="27"/>
  <c r="K62" i="27" s="1"/>
  <c r="F54" i="27"/>
  <c r="K54" i="27" s="1"/>
  <c r="F38" i="27"/>
  <c r="K38" i="27" s="1"/>
  <c r="F30" i="27"/>
  <c r="K30" i="27" s="1"/>
  <c r="F81" i="27"/>
  <c r="K81" i="27" s="1"/>
  <c r="F73" i="27"/>
  <c r="K73" i="27" s="1"/>
  <c r="F49" i="27"/>
  <c r="K49" i="27" s="1"/>
  <c r="F41" i="27"/>
  <c r="K41" i="27" s="1"/>
  <c r="F33" i="27"/>
  <c r="K33" i="27" s="1"/>
  <c r="F25" i="27"/>
  <c r="K25" i="27" s="1"/>
  <c r="F17" i="27"/>
  <c r="K17" i="27" s="1"/>
  <c r="F9" i="27"/>
  <c r="K9" i="27" s="1"/>
  <c r="F22" i="27"/>
  <c r="K22" i="27" s="1"/>
  <c r="F69" i="27"/>
  <c r="K69" i="27" s="1"/>
  <c r="F21" i="27"/>
  <c r="K21" i="27" s="1"/>
  <c r="F5" i="27"/>
  <c r="K5" i="27" s="1"/>
  <c r="F14" i="27"/>
  <c r="K14" i="27" s="1"/>
  <c r="F6" i="27"/>
  <c r="K6" i="27" s="1"/>
  <c r="F53" i="27"/>
  <c r="K53" i="27" s="1"/>
  <c r="F45" i="27"/>
  <c r="K45" i="27" s="1"/>
  <c r="F82" i="27"/>
  <c r="K82" i="27" s="1"/>
  <c r="F74" i="27"/>
  <c r="K74" i="27" s="1"/>
  <c r="F66" i="27"/>
  <c r="K66" i="27" s="1"/>
  <c r="F58" i="27"/>
  <c r="K58" i="27" s="1"/>
  <c r="F50" i="27"/>
  <c r="K50" i="27" s="1"/>
  <c r="F42" i="27"/>
  <c r="K42" i="27" s="1"/>
  <c r="F34" i="27"/>
  <c r="K34" i="27" s="1"/>
  <c r="F18" i="27"/>
  <c r="K18" i="27" s="1"/>
  <c r="F10" i="27"/>
  <c r="K10" i="27" s="1"/>
  <c r="F77" i="27"/>
  <c r="K77" i="27" s="1"/>
  <c r="F61" i="27"/>
  <c r="K61" i="27" s="1"/>
  <c r="F29" i="27"/>
  <c r="K29" i="27" s="1"/>
  <c r="F75" i="27"/>
  <c r="K75" i="27" s="1"/>
  <c r="F72" i="27"/>
  <c r="K72" i="27" s="1"/>
  <c r="F52" i="27"/>
  <c r="K52" i="27" s="1"/>
  <c r="F12" i="27"/>
  <c r="K12" i="27" s="1"/>
  <c r="D68" i="30"/>
  <c r="D39" i="30"/>
  <c r="D74" i="30"/>
  <c r="D26" i="30"/>
  <c r="D21" i="30"/>
  <c r="D30" i="30"/>
  <c r="D4" i="30"/>
  <c r="F71" i="27"/>
  <c r="K71" i="27" s="1"/>
  <c r="F27" i="27"/>
  <c r="K27" i="27" s="1"/>
  <c r="BA20" i="27"/>
  <c r="D81" i="30"/>
  <c r="D65" i="30"/>
  <c r="D49" i="30"/>
  <c r="D33" i="30"/>
  <c r="D17" i="30"/>
  <c r="D75" i="30"/>
  <c r="D59" i="30"/>
  <c r="D43" i="30"/>
  <c r="D27" i="30"/>
  <c r="D11" i="30"/>
  <c r="D73" i="30"/>
  <c r="D57" i="30"/>
  <c r="D41" i="30"/>
  <c r="D25" i="30"/>
  <c r="D9" i="30"/>
  <c r="D67" i="30"/>
  <c r="D51" i="30"/>
  <c r="D35" i="30"/>
  <c r="D19" i="30"/>
  <c r="F23" i="27"/>
  <c r="K23" i="27" s="1"/>
  <c r="F68" i="27"/>
  <c r="K68" i="27" s="1"/>
  <c r="F48" i="27"/>
  <c r="K48" i="27" s="1"/>
  <c r="D63" i="30"/>
  <c r="D36" i="30"/>
  <c r="D66" i="30"/>
  <c r="D18" i="30"/>
  <c r="D62" i="30"/>
  <c r="D77" i="30"/>
  <c r="D13" i="30"/>
  <c r="F11" i="27"/>
  <c r="K11" i="27" s="1"/>
  <c r="D22" i="30"/>
  <c r="D32" i="30"/>
  <c r="D20" i="30"/>
  <c r="F76" i="27"/>
  <c r="K76" i="27" s="1"/>
  <c r="F35" i="27"/>
  <c r="K35" i="27" s="1"/>
  <c r="F64" i="27"/>
  <c r="K64" i="27" s="1"/>
  <c r="D60" i="30"/>
  <c r="D31" i="30"/>
  <c r="F65" i="27"/>
  <c r="K65" i="27" s="1"/>
  <c r="D10" i="30"/>
  <c r="D6" i="30"/>
  <c r="F67" i="27"/>
  <c r="K67" i="27" s="1"/>
  <c r="D54" i="30"/>
  <c r="D69" i="30"/>
  <c r="D5" i="30"/>
  <c r="F59" i="27"/>
  <c r="K59" i="27" s="1"/>
  <c r="D14" i="30"/>
  <c r="F26" i="27"/>
  <c r="K26" i="27" s="1"/>
  <c r="F31" i="27"/>
  <c r="K31" i="27" s="1"/>
  <c r="F70" i="27"/>
  <c r="K70" i="27" s="1"/>
  <c r="F8" i="27"/>
  <c r="K8" i="27" s="1"/>
  <c r="F47" i="27"/>
  <c r="K47" i="27" s="1"/>
  <c r="D79" i="30"/>
  <c r="D55" i="30"/>
  <c r="D28" i="30"/>
  <c r="D58" i="30"/>
  <c r="D46" i="30"/>
  <c r="D61" i="30"/>
  <c r="F51" i="27"/>
  <c r="K51" i="27" s="1"/>
  <c r="D80" i="30"/>
  <c r="D24" i="30"/>
  <c r="F7" i="27"/>
  <c r="K7" i="27" s="1"/>
  <c r="F16" i="27"/>
  <c r="K16" i="27" s="1"/>
  <c r="F19" i="27"/>
  <c r="K19" i="27" s="1"/>
  <c r="F43" i="27"/>
  <c r="K43" i="27" s="1"/>
  <c r="F60" i="27"/>
  <c r="K60" i="27" s="1"/>
  <c r="F40" i="27"/>
  <c r="K40" i="27" s="1"/>
  <c r="F78" i="27"/>
  <c r="K78" i="27" s="1"/>
  <c r="D52" i="30"/>
  <c r="F57" i="27"/>
  <c r="K57" i="27" s="1"/>
  <c r="F32" i="27"/>
  <c r="K32" i="27" s="1"/>
  <c r="F37" i="27"/>
  <c r="K37" i="27" s="1"/>
  <c r="D53" i="30"/>
  <c r="D72" i="30"/>
  <c r="D16" i="30"/>
  <c r="D70" i="30"/>
  <c r="F63" i="27"/>
  <c r="K63" i="27" s="1"/>
  <c r="D15" i="30"/>
  <c r="AP95" i="27"/>
  <c r="F13" i="28"/>
  <c r="F14" i="28"/>
  <c r="G14" i="28" s="1"/>
  <c r="P84" i="29"/>
  <c r="G94" i="29" s="1"/>
  <c r="J84" i="29"/>
  <c r="J85" i="29" s="1"/>
  <c r="AA79" i="27"/>
  <c r="AC79" i="27" s="1"/>
  <c r="AO109" i="27"/>
  <c r="AO110" i="27" s="1"/>
  <c r="AO60" i="27"/>
  <c r="AO50" i="27"/>
  <c r="AO19" i="27"/>
  <c r="AP94" i="27"/>
  <c r="AX86" i="27"/>
  <c r="AJ78" i="27"/>
  <c r="BA73" i="27"/>
  <c r="AJ82" i="27"/>
  <c r="BA78" i="27"/>
  <c r="BA60" i="27"/>
  <c r="AA61" i="27"/>
  <c r="BA74" i="27"/>
  <c r="AJ72" i="27"/>
  <c r="AA66" i="27"/>
  <c r="BA55" i="27"/>
  <c r="BA48" i="27"/>
  <c r="AT50" i="27"/>
  <c r="BA6" i="27"/>
  <c r="AT60" i="27"/>
  <c r="AT6" i="27"/>
  <c r="AT14" i="27"/>
  <c r="AT71" i="27"/>
  <c r="BA28" i="27"/>
  <c r="AJ80" i="27"/>
  <c r="AK80" i="27" s="1"/>
  <c r="AJ81" i="27"/>
  <c r="BA46" i="27"/>
  <c r="BA45" i="27"/>
  <c r="BA79" i="27"/>
  <c r="BA14" i="27"/>
  <c r="BA5" i="27"/>
  <c r="BA51" i="27"/>
  <c r="BA62" i="27"/>
  <c r="AO62" i="27"/>
  <c r="AJ71" i="27"/>
  <c r="AJ65" i="27"/>
  <c r="AJ68" i="27"/>
  <c r="AK68" i="27" s="1"/>
  <c r="BA68" i="27"/>
  <c r="BA53" i="27"/>
  <c r="BA49" i="27"/>
  <c r="AT53" i="27"/>
  <c r="AT49" i="27"/>
  <c r="BA37" i="27"/>
  <c r="BA27" i="27"/>
  <c r="BA34" i="27"/>
  <c r="AT57" i="27"/>
  <c r="BA80" i="27"/>
  <c r="BA67" i="27"/>
  <c r="BA63" i="27"/>
  <c r="BA75" i="27"/>
  <c r="BA69" i="27"/>
  <c r="BA76" i="27"/>
  <c r="BA71" i="27"/>
  <c r="BA72" i="27"/>
  <c r="BA65" i="27"/>
  <c r="BA58" i="27"/>
  <c r="BA47" i="27"/>
  <c r="BA35" i="27"/>
  <c r="BA7" i="27"/>
  <c r="BA52" i="27"/>
  <c r="BA15" i="27"/>
  <c r="BA8" i="27"/>
  <c r="BA4" i="27"/>
  <c r="BA56" i="27"/>
  <c r="BA43" i="27"/>
  <c r="BA39" i="27"/>
  <c r="BA32" i="27"/>
  <c r="BA19" i="27"/>
  <c r="BA16" i="27"/>
  <c r="BA12" i="27"/>
  <c r="BA42" i="27"/>
  <c r="BA29" i="27"/>
  <c r="BA25" i="27"/>
  <c r="BA21" i="27"/>
  <c r="BA18" i="27"/>
  <c r="BA41" i="27"/>
  <c r="BA40" i="27"/>
  <c r="BA33" i="27"/>
  <c r="BA11" i="27"/>
  <c r="BA77" i="27"/>
  <c r="BA17" i="27"/>
  <c r="AJ66" i="27"/>
  <c r="AK66" i="27" s="1"/>
  <c r="BA59" i="27"/>
  <c r="BA54" i="27"/>
  <c r="BA82" i="27"/>
  <c r="AJ76" i="27"/>
  <c r="AA67" i="27"/>
  <c r="AJ77" i="27"/>
  <c r="BA66" i="27"/>
  <c r="AT59" i="27"/>
  <c r="AT51" i="27"/>
  <c r="AT79" i="27"/>
  <c r="AT19" i="27"/>
  <c r="BA26" i="27"/>
  <c r="BA31" i="27"/>
  <c r="BA9" i="27"/>
  <c r="BA36" i="27"/>
  <c r="BA57" i="27"/>
  <c r="AT35" i="27"/>
  <c r="BA10" i="27"/>
  <c r="BA64" i="27"/>
  <c r="AJ64" i="27"/>
  <c r="BA50" i="27"/>
  <c r="AJ75" i="27"/>
  <c r="AJ69" i="27"/>
  <c r="AP99" i="27"/>
  <c r="BA44" i="27"/>
  <c r="AT28" i="27"/>
  <c r="BA23" i="27"/>
  <c r="BA22" i="27"/>
  <c r="AT7" i="27"/>
  <c r="AT56" i="27"/>
  <c r="BA24" i="27"/>
  <c r="AJ63" i="27"/>
  <c r="AJ51" i="27"/>
  <c r="AJ50" i="27"/>
  <c r="AA48" i="27"/>
  <c r="AJ46" i="27"/>
  <c r="AJ42" i="27"/>
  <c r="AJ56" i="27"/>
  <c r="AA55" i="27"/>
  <c r="AJ74" i="27"/>
  <c r="AJ70" i="27"/>
  <c r="AJ60" i="27"/>
  <c r="AJ58" i="27"/>
  <c r="AJ52" i="27"/>
  <c r="AA49" i="27"/>
  <c r="AJ47" i="27"/>
  <c r="AJ43" i="27"/>
  <c r="AK43" i="27" s="1"/>
  <c r="AJ62" i="27"/>
  <c r="AJ54" i="27"/>
  <c r="AA70" i="27"/>
  <c r="AJ59" i="27"/>
  <c r="AJ55" i="27"/>
  <c r="AK55" i="27" s="1"/>
  <c r="AJ73" i="27"/>
  <c r="AJ61" i="27"/>
  <c r="AK61" i="27" s="1"/>
  <c r="AA58" i="27"/>
  <c r="AJ49" i="27"/>
  <c r="AK49" i="27" s="1"/>
  <c r="AJ41" i="27"/>
  <c r="AJ40" i="27"/>
  <c r="AA37" i="27"/>
  <c r="AA20" i="27"/>
  <c r="AJ15" i="27"/>
  <c r="AJ8" i="27"/>
  <c r="AJ4" i="27"/>
  <c r="AJ44" i="27"/>
  <c r="AK44" i="27" s="1"/>
  <c r="AJ39" i="27"/>
  <c r="AK39" i="27" s="1"/>
  <c r="AJ32" i="27"/>
  <c r="AJ28" i="27"/>
  <c r="AJ24" i="27"/>
  <c r="AJ67" i="27"/>
  <c r="AJ57" i="27"/>
  <c r="AA43" i="27"/>
  <c r="AJ35" i="27"/>
  <c r="AJ16" i="27"/>
  <c r="AA14" i="27"/>
  <c r="AJ9" i="27"/>
  <c r="AJ5" i="27"/>
  <c r="AJ11" i="27"/>
  <c r="AJ48" i="27"/>
  <c r="AA40" i="27"/>
  <c r="AJ38" i="27"/>
  <c r="AA36" i="27"/>
  <c r="AJ29" i="27"/>
  <c r="AJ25" i="27"/>
  <c r="AJ21" i="27"/>
  <c r="AK21" i="27" s="1"/>
  <c r="AA76" i="27"/>
  <c r="AJ34" i="27"/>
  <c r="AJ31" i="27"/>
  <c r="AK31" i="27" s="1"/>
  <c r="AJ20" i="27"/>
  <c r="AJ17" i="27"/>
  <c r="AJ13" i="27"/>
  <c r="AK13" i="27" s="1"/>
  <c r="AJ10" i="27"/>
  <c r="AJ6" i="27"/>
  <c r="AJ45" i="27"/>
  <c r="AJ30" i="27"/>
  <c r="AJ18" i="27"/>
  <c r="AJ14" i="27"/>
  <c r="AJ7" i="27"/>
  <c r="AJ27" i="27"/>
  <c r="AJ23" i="27"/>
  <c r="AJ53" i="27"/>
  <c r="AK53" i="27" s="1"/>
  <c r="AJ12" i="27"/>
  <c r="AJ33" i="27"/>
  <c r="AA31" i="27"/>
  <c r="AA21" i="27"/>
  <c r="AJ36" i="27"/>
  <c r="AK36" i="27" s="1"/>
  <c r="AJ26" i="27"/>
  <c r="AJ22" i="27"/>
  <c r="AJ19" i="27"/>
  <c r="AK19" i="27" s="1"/>
  <c r="AJ37" i="27"/>
  <c r="BA38" i="27"/>
  <c r="BA30" i="27"/>
  <c r="BA81" i="27"/>
  <c r="AJ79" i="27"/>
  <c r="AK79" i="27" s="1"/>
  <c r="BA70" i="27"/>
  <c r="BA61" i="27"/>
  <c r="AT80" i="27"/>
  <c r="AT67" i="27"/>
  <c r="AT63" i="27"/>
  <c r="AT81" i="27"/>
  <c r="AT65" i="27"/>
  <c r="AT76" i="27"/>
  <c r="AT77" i="27"/>
  <c r="AT66" i="27"/>
  <c r="AT73" i="27"/>
  <c r="AT72" i="27"/>
  <c r="AT69" i="27"/>
  <c r="AT70" i="27"/>
  <c r="AT48" i="27"/>
  <c r="AT52" i="27"/>
  <c r="AT15" i="27"/>
  <c r="AT8" i="27"/>
  <c r="AT4" i="27"/>
  <c r="AT10" i="27"/>
  <c r="AT62" i="27"/>
  <c r="AT43" i="27"/>
  <c r="AT41" i="27"/>
  <c r="AT39" i="27"/>
  <c r="AT20" i="27"/>
  <c r="AT58" i="27"/>
  <c r="AT16" i="27"/>
  <c r="AT9" i="27"/>
  <c r="AT5" i="27"/>
  <c r="AT44" i="27"/>
  <c r="AT38" i="27"/>
  <c r="AT34" i="27"/>
  <c r="AT17" i="27"/>
  <c r="AT11" i="27"/>
  <c r="AT25" i="27"/>
  <c r="AT21" i="27"/>
  <c r="AT18" i="27"/>
  <c r="AT31" i="27"/>
  <c r="AT29" i="27"/>
  <c r="AT47" i="27"/>
  <c r="AT22" i="27"/>
  <c r="AT26" i="27"/>
  <c r="BA13" i="27"/>
  <c r="AT46" i="27"/>
  <c r="AT12" i="27"/>
  <c r="AL36" i="27" l="1"/>
  <c r="L10" i="29"/>
  <c r="L18" i="29"/>
  <c r="L26" i="29"/>
  <c r="L34" i="29"/>
  <c r="L42" i="29"/>
  <c r="L50" i="29"/>
  <c r="L58" i="29"/>
  <c r="K58" i="29" s="1"/>
  <c r="L66" i="29"/>
  <c r="K66" i="29" s="1"/>
  <c r="L74" i="29"/>
  <c r="L82" i="29"/>
  <c r="L40" i="29"/>
  <c r="L56" i="29"/>
  <c r="L9" i="29"/>
  <c r="L81" i="29"/>
  <c r="L11" i="29"/>
  <c r="K11" i="29" s="1"/>
  <c r="L19" i="29"/>
  <c r="K19" i="29" s="1"/>
  <c r="L27" i="29"/>
  <c r="L35" i="29"/>
  <c r="L43" i="29"/>
  <c r="L51" i="29"/>
  <c r="L59" i="29"/>
  <c r="L67" i="29"/>
  <c r="K67" i="29" s="1"/>
  <c r="L75" i="29"/>
  <c r="K75" i="29" s="1"/>
  <c r="L4" i="29"/>
  <c r="L48" i="29"/>
  <c r="L33" i="29"/>
  <c r="L65" i="29"/>
  <c r="L12" i="29"/>
  <c r="L20" i="29"/>
  <c r="L28" i="29"/>
  <c r="K28" i="29" s="1"/>
  <c r="L36" i="29"/>
  <c r="K36" i="29" s="1"/>
  <c r="L44" i="29"/>
  <c r="K44" i="29" s="1"/>
  <c r="L52" i="29"/>
  <c r="L60" i="29"/>
  <c r="L68" i="29"/>
  <c r="L76" i="29"/>
  <c r="L32" i="29"/>
  <c r="L80" i="29"/>
  <c r="K80" i="29" s="1"/>
  <c r="L25" i="29"/>
  <c r="K25" i="29" s="1"/>
  <c r="L73" i="29"/>
  <c r="K73" i="29" s="1"/>
  <c r="L5" i="29"/>
  <c r="L13" i="29"/>
  <c r="L21" i="29"/>
  <c r="L29" i="29"/>
  <c r="L37" i="29"/>
  <c r="L45" i="29"/>
  <c r="K45" i="29" s="1"/>
  <c r="L53" i="29"/>
  <c r="K53" i="29" s="1"/>
  <c r="L61" i="29"/>
  <c r="K61" i="29" s="1"/>
  <c r="L69" i="29"/>
  <c r="L77" i="29"/>
  <c r="L24" i="29"/>
  <c r="L72" i="29"/>
  <c r="L41" i="29"/>
  <c r="L6" i="29"/>
  <c r="K6" i="29" s="1"/>
  <c r="L14" i="29"/>
  <c r="K14" i="29" s="1"/>
  <c r="L22" i="29"/>
  <c r="K22" i="29" s="1"/>
  <c r="L30" i="29"/>
  <c r="L38" i="29"/>
  <c r="L46" i="29"/>
  <c r="L54" i="29"/>
  <c r="L62" i="29"/>
  <c r="L70" i="29"/>
  <c r="K70" i="29" s="1"/>
  <c r="L78" i="29"/>
  <c r="L16" i="29"/>
  <c r="K16" i="29" s="1"/>
  <c r="L64" i="29"/>
  <c r="L49" i="29"/>
  <c r="L7" i="29"/>
  <c r="L15" i="29"/>
  <c r="L23" i="29"/>
  <c r="L31" i="29"/>
  <c r="K31" i="29" s="1"/>
  <c r="L39" i="29"/>
  <c r="K39" i="29" s="1"/>
  <c r="L47" i="29"/>
  <c r="K47" i="29" s="1"/>
  <c r="L55" i="29"/>
  <c r="L63" i="29"/>
  <c r="L71" i="29"/>
  <c r="L79" i="29"/>
  <c r="L8" i="29"/>
  <c r="L17" i="29"/>
  <c r="L57" i="29"/>
  <c r="K57" i="29" s="1"/>
  <c r="AA13" i="27"/>
  <c r="AC13" i="27" s="1"/>
  <c r="AA42" i="27"/>
  <c r="AC42" i="27" s="1"/>
  <c r="AK72" i="27"/>
  <c r="AA25" i="27"/>
  <c r="AU25" i="27" s="1"/>
  <c r="AK54" i="27"/>
  <c r="AK42" i="27"/>
  <c r="AA54" i="27"/>
  <c r="AC54" i="27" s="1"/>
  <c r="AK64" i="27"/>
  <c r="AA64" i="27"/>
  <c r="AC64" i="27" s="1"/>
  <c r="AK48" i="27"/>
  <c r="AL48" i="27" s="1"/>
  <c r="AA6" i="27"/>
  <c r="AU6" i="27" s="1"/>
  <c r="AK63" i="27"/>
  <c r="AK25" i="27"/>
  <c r="AA30" i="27"/>
  <c r="AC30" i="27" s="1"/>
  <c r="AK6" i="27"/>
  <c r="AK34" i="27"/>
  <c r="AK11" i="27"/>
  <c r="AV19" i="27"/>
  <c r="K49" i="29"/>
  <c r="K10" i="29"/>
  <c r="K18" i="29"/>
  <c r="K40" i="29"/>
  <c r="K51" i="29"/>
  <c r="K59" i="29"/>
  <c r="K32" i="29"/>
  <c r="K64" i="29"/>
  <c r="K5" i="29"/>
  <c r="K69" i="29"/>
  <c r="K77" i="29"/>
  <c r="K30" i="29"/>
  <c r="K46" i="29"/>
  <c r="K78" i="29"/>
  <c r="K23" i="29"/>
  <c r="K63" i="29"/>
  <c r="K71" i="29"/>
  <c r="K8" i="29"/>
  <c r="K56" i="29"/>
  <c r="G13" i="28"/>
  <c r="AA32" i="27"/>
  <c r="AU32" i="27" s="1"/>
  <c r="AA80" i="27"/>
  <c r="AC80" i="27" s="1"/>
  <c r="AA11" i="27"/>
  <c r="AK38" i="27"/>
  <c r="AK57" i="27"/>
  <c r="AK32" i="27"/>
  <c r="AK15" i="27"/>
  <c r="AA52" i="27"/>
  <c r="AC52" i="27" s="1"/>
  <c r="AK59" i="27"/>
  <c r="AA15" i="27"/>
  <c r="AC15" i="27" s="1"/>
  <c r="AK52" i="27"/>
  <c r="AA68" i="27"/>
  <c r="AL68" i="27" s="1"/>
  <c r="AA38" i="27"/>
  <c r="AU38" i="27" s="1"/>
  <c r="AK17" i="27"/>
  <c r="AA12" i="27"/>
  <c r="AU12" i="27" s="1"/>
  <c r="AA57" i="27"/>
  <c r="AU57" i="27" s="1"/>
  <c r="AA59" i="27"/>
  <c r="AC59" i="27" s="1"/>
  <c r="AA34" i="27"/>
  <c r="AU34" i="27" s="1"/>
  <c r="AK33" i="27"/>
  <c r="AA33" i="27"/>
  <c r="AC33" i="27" s="1"/>
  <c r="AK8" i="27"/>
  <c r="AK62" i="27"/>
  <c r="AA44" i="27"/>
  <c r="AL44" i="27" s="1"/>
  <c r="AK76" i="27"/>
  <c r="AL76" i="27" s="1"/>
  <c r="AA8" i="27"/>
  <c r="AC8" i="27" s="1"/>
  <c r="AA39" i="27"/>
  <c r="AU39" i="27" s="1"/>
  <c r="AK29" i="27"/>
  <c r="AK5" i="27"/>
  <c r="AK41" i="27"/>
  <c r="AK60" i="27"/>
  <c r="AK14" i="27"/>
  <c r="AL14" i="27" s="1"/>
  <c r="AA41" i="27"/>
  <c r="AC41" i="27" s="1"/>
  <c r="AK50" i="27"/>
  <c r="AA50" i="27"/>
  <c r="AU50" i="27" s="1"/>
  <c r="AA29" i="27"/>
  <c r="AC29" i="27" s="1"/>
  <c r="AA5" i="27"/>
  <c r="AU5" i="27" s="1"/>
  <c r="AK20" i="27"/>
  <c r="AL20" i="27" s="1"/>
  <c r="AA62" i="27"/>
  <c r="AC62" i="27" s="1"/>
  <c r="AK58" i="27"/>
  <c r="AK70" i="27"/>
  <c r="AL70" i="27" s="1"/>
  <c r="AK37" i="27"/>
  <c r="AL37" i="27" s="1"/>
  <c r="AA19" i="27"/>
  <c r="AL19" i="27" s="1"/>
  <c r="AA63" i="27"/>
  <c r="AA82" i="27"/>
  <c r="AA65" i="27"/>
  <c r="AU65" i="27" s="1"/>
  <c r="AA81" i="27"/>
  <c r="AC81" i="27" s="1"/>
  <c r="AV51" i="27"/>
  <c r="AK27" i="27"/>
  <c r="AA69" i="27"/>
  <c r="AU69" i="27" s="1"/>
  <c r="AX69" i="27" s="1"/>
  <c r="F69" i="30" s="1"/>
  <c r="AK81" i="27"/>
  <c r="AV55" i="27"/>
  <c r="AK16" i="27"/>
  <c r="AA22" i="27"/>
  <c r="AK22" i="27"/>
  <c r="AA27" i="27"/>
  <c r="AU27" i="27" s="1"/>
  <c r="AK40" i="27"/>
  <c r="AL40" i="27" s="1"/>
  <c r="AL79" i="27"/>
  <c r="AA10" i="27"/>
  <c r="AC10" i="27" s="1"/>
  <c r="AV71" i="27"/>
  <c r="AA16" i="27"/>
  <c r="AC16" i="27" s="1"/>
  <c r="AK10" i="27"/>
  <c r="AL49" i="27"/>
  <c r="AA56" i="27"/>
  <c r="AC56" i="27" s="1"/>
  <c r="AK82" i="27"/>
  <c r="AV7" i="27"/>
  <c r="AK45" i="27"/>
  <c r="AA23" i="27"/>
  <c r="AU23" i="27" s="1"/>
  <c r="AA46" i="27"/>
  <c r="AC46" i="27" s="1"/>
  <c r="AA18" i="27"/>
  <c r="AC18" i="27" s="1"/>
  <c r="AA73" i="27"/>
  <c r="AC73" i="27" s="1"/>
  <c r="AV76" i="27"/>
  <c r="AA9" i="27"/>
  <c r="AC9" i="27" s="1"/>
  <c r="AK24" i="27"/>
  <c r="AK46" i="27"/>
  <c r="AA77" i="27"/>
  <c r="AC77" i="27" s="1"/>
  <c r="AK26" i="27"/>
  <c r="AK12" i="27"/>
  <c r="AK35" i="27"/>
  <c r="AA26" i="27"/>
  <c r="AU26" i="27" s="1"/>
  <c r="AA45" i="27"/>
  <c r="AC45" i="27" s="1"/>
  <c r="AK74" i="27"/>
  <c r="AA72" i="27"/>
  <c r="AV59" i="27"/>
  <c r="AV4" i="27"/>
  <c r="F83" i="27"/>
  <c r="K4" i="27"/>
  <c r="AK7" i="27"/>
  <c r="AA71" i="27"/>
  <c r="AC71" i="27" s="1"/>
  <c r="AA35" i="27"/>
  <c r="AC35" i="27" s="1"/>
  <c r="AA7" i="27"/>
  <c r="AU7" i="27" s="1"/>
  <c r="AK28" i="27"/>
  <c r="AK47" i="27"/>
  <c r="AA75" i="27"/>
  <c r="AU75" i="27" s="1"/>
  <c r="AK69" i="27"/>
  <c r="AK65" i="27"/>
  <c r="AV27" i="27"/>
  <c r="D83" i="30"/>
  <c r="AV44" i="27"/>
  <c r="AV20" i="27"/>
  <c r="AA24" i="27"/>
  <c r="AC24" i="27" s="1"/>
  <c r="AK18" i="27"/>
  <c r="AA47" i="27"/>
  <c r="AC47" i="27" s="1"/>
  <c r="AK9" i="27"/>
  <c r="AK51" i="27"/>
  <c r="AK75" i="27"/>
  <c r="AK71" i="27"/>
  <c r="AV15" i="27"/>
  <c r="AV24" i="27"/>
  <c r="AK73" i="27"/>
  <c r="AA51" i="27"/>
  <c r="AU51" i="27" s="1"/>
  <c r="AX51" i="27" s="1"/>
  <c r="F51" i="30" s="1"/>
  <c r="AA28" i="27"/>
  <c r="AU28" i="27" s="1"/>
  <c r="AK23" i="27"/>
  <c r="AK30" i="27"/>
  <c r="AK67" i="27"/>
  <c r="AL67" i="27" s="1"/>
  <c r="AA17" i="27"/>
  <c r="AU17" i="27" s="1"/>
  <c r="AA60" i="27"/>
  <c r="AU60" i="27" s="1"/>
  <c r="AK56" i="27"/>
  <c r="AA53" i="27"/>
  <c r="AL53" i="27" s="1"/>
  <c r="AA78" i="27"/>
  <c r="AU78" i="27" s="1"/>
  <c r="AK77" i="27"/>
  <c r="AA74" i="27"/>
  <c r="AL74" i="27" s="1"/>
  <c r="AK78" i="27"/>
  <c r="AV79" i="27"/>
  <c r="AV47" i="27"/>
  <c r="AV39" i="27"/>
  <c r="AV31" i="27"/>
  <c r="AV82" i="27"/>
  <c r="AV74" i="27"/>
  <c r="AV66" i="27"/>
  <c r="AV58" i="27"/>
  <c r="AV50" i="27"/>
  <c r="AV42" i="27"/>
  <c r="AV34" i="27"/>
  <c r="AV18" i="27"/>
  <c r="AV10" i="27"/>
  <c r="AV75" i="27"/>
  <c r="AV43" i="27"/>
  <c r="AV67" i="27"/>
  <c r="AV11" i="27"/>
  <c r="AV62" i="27"/>
  <c r="AV54" i="27"/>
  <c r="AV46" i="27"/>
  <c r="AV38" i="27"/>
  <c r="AV30" i="27"/>
  <c r="AV22" i="27"/>
  <c r="AV14" i="27"/>
  <c r="AV6" i="27"/>
  <c r="AV78" i="27"/>
  <c r="AV57" i="27"/>
  <c r="AV16" i="27"/>
  <c r="AV60" i="27"/>
  <c r="AV37" i="27"/>
  <c r="AV40" i="27"/>
  <c r="AV33" i="27"/>
  <c r="AV23" i="27"/>
  <c r="AV69" i="27"/>
  <c r="AV77" i="27"/>
  <c r="AV45" i="27"/>
  <c r="AV72" i="27"/>
  <c r="AV61" i="27"/>
  <c r="AV64" i="27"/>
  <c r="AV81" i="27"/>
  <c r="AV5" i="27"/>
  <c r="AV26" i="27"/>
  <c r="AV52" i="27"/>
  <c r="AV13" i="27"/>
  <c r="AV68" i="27"/>
  <c r="AV63" i="27"/>
  <c r="AV21" i="27"/>
  <c r="AV65" i="27"/>
  <c r="AV48" i="27"/>
  <c r="AV73" i="27"/>
  <c r="AV70" i="27"/>
  <c r="AV28" i="27"/>
  <c r="AV9" i="27"/>
  <c r="AV17" i="27"/>
  <c r="AV41" i="27"/>
  <c r="AV80" i="27"/>
  <c r="AV12" i="27"/>
  <c r="AV49" i="27"/>
  <c r="AV29" i="27"/>
  <c r="AV25" i="27"/>
  <c r="AV56" i="27"/>
  <c r="AV36" i="27"/>
  <c r="AV53" i="27"/>
  <c r="AV35" i="27"/>
  <c r="AV8" i="27"/>
  <c r="AV32" i="27"/>
  <c r="F15" i="28"/>
  <c r="G15" i="28" s="1"/>
  <c r="K48" i="29"/>
  <c r="K24" i="29"/>
  <c r="K33" i="29"/>
  <c r="K9" i="29"/>
  <c r="K79" i="29"/>
  <c r="K55" i="29"/>
  <c r="K15" i="29"/>
  <c r="K7" i="29"/>
  <c r="K82" i="29"/>
  <c r="K62" i="29"/>
  <c r="K54" i="29"/>
  <c r="K38" i="29"/>
  <c r="K50" i="29"/>
  <c r="K34" i="29"/>
  <c r="K37" i="29"/>
  <c r="K29" i="29"/>
  <c r="K21" i="29"/>
  <c r="K13" i="29"/>
  <c r="K81" i="29"/>
  <c r="K65" i="29"/>
  <c r="K41" i="29"/>
  <c r="K76" i="29"/>
  <c r="K68" i="29"/>
  <c r="K60" i="29"/>
  <c r="K52" i="29"/>
  <c r="K20" i="29"/>
  <c r="K12" i="29"/>
  <c r="K74" i="29"/>
  <c r="K43" i="29"/>
  <c r="K35" i="29"/>
  <c r="K42" i="29"/>
  <c r="K26" i="29"/>
  <c r="K17" i="29"/>
  <c r="K72" i="29"/>
  <c r="K27" i="29"/>
  <c r="G97" i="29"/>
  <c r="G98" i="29" s="1"/>
  <c r="H94" i="29"/>
  <c r="AL61" i="27"/>
  <c r="AO83" i="27"/>
  <c r="BC91" i="27" s="1"/>
  <c r="AU79" i="27"/>
  <c r="AL55" i="27"/>
  <c r="AP110" i="27"/>
  <c r="AL66" i="27"/>
  <c r="AL43" i="27"/>
  <c r="AC67" i="27"/>
  <c r="AU67" i="27"/>
  <c r="AU48" i="27"/>
  <c r="AC48" i="27"/>
  <c r="AL31" i="27"/>
  <c r="AC61" i="27"/>
  <c r="AU61" i="27"/>
  <c r="AC6" i="27"/>
  <c r="AU49" i="27"/>
  <c r="AX49" i="27" s="1"/>
  <c r="F49" i="30" s="1"/>
  <c r="AC49" i="27"/>
  <c r="AU55" i="27"/>
  <c r="AC55" i="27"/>
  <c r="AU37" i="27"/>
  <c r="AC37" i="27"/>
  <c r="AU21" i="27"/>
  <c r="AC21" i="27"/>
  <c r="AC76" i="27"/>
  <c r="AU76" i="27"/>
  <c r="AX76" i="27" s="1"/>
  <c r="F76" i="30" s="1"/>
  <c r="AU40" i="27"/>
  <c r="AC40" i="27"/>
  <c r="AC14" i="27"/>
  <c r="AU14" i="27"/>
  <c r="AU58" i="27"/>
  <c r="AC58" i="27"/>
  <c r="BA83" i="27"/>
  <c r="AU36" i="27"/>
  <c r="AC36" i="27"/>
  <c r="AL21" i="27"/>
  <c r="AC12" i="27"/>
  <c r="AU20" i="27"/>
  <c r="AC20" i="27"/>
  <c r="AU70" i="27"/>
  <c r="AC70" i="27"/>
  <c r="AU31" i="27"/>
  <c r="AC31" i="27"/>
  <c r="AU43" i="27"/>
  <c r="AC43" i="27"/>
  <c r="AT83" i="27"/>
  <c r="AJ83" i="27"/>
  <c r="AL58" i="27"/>
  <c r="AU66" i="27"/>
  <c r="AC66" i="27"/>
  <c r="AX20" i="27" l="1"/>
  <c r="F20" i="30" s="1"/>
  <c r="AL63" i="27"/>
  <c r="AL6" i="27"/>
  <c r="AC25" i="27"/>
  <c r="AC38" i="27"/>
  <c r="AU15" i="27"/>
  <c r="AX15" i="27" s="1"/>
  <c r="F15" i="30" s="1"/>
  <c r="AL42" i="27"/>
  <c r="AU42" i="27"/>
  <c r="AX42" i="27" s="1"/>
  <c r="F42" i="30" s="1"/>
  <c r="AL59" i="27"/>
  <c r="AL25" i="27"/>
  <c r="AX14" i="27"/>
  <c r="F14" i="30" s="1"/>
  <c r="AL34" i="27"/>
  <c r="AL13" i="27"/>
  <c r="AU13" i="27"/>
  <c r="AX13" i="27" s="1"/>
  <c r="F13" i="30" s="1"/>
  <c r="AL64" i="27"/>
  <c r="AC34" i="27"/>
  <c r="AU64" i="27"/>
  <c r="AX64" i="27" s="1"/>
  <c r="F64" i="30" s="1"/>
  <c r="AL80" i="27"/>
  <c r="AU80" i="27"/>
  <c r="AX80" i="27" s="1"/>
  <c r="F80" i="30" s="1"/>
  <c r="AX17" i="27"/>
  <c r="F17" i="30" s="1"/>
  <c r="AL15" i="27"/>
  <c r="AU54" i="27"/>
  <c r="AX54" i="27" s="1"/>
  <c r="F54" i="30" s="1"/>
  <c r="AL11" i="27"/>
  <c r="AU59" i="27"/>
  <c r="AX59" i="27" s="1"/>
  <c r="F59" i="30" s="1"/>
  <c r="AU71" i="27"/>
  <c r="AX71" i="27" s="1"/>
  <c r="F71" i="30" s="1"/>
  <c r="AL9" i="27"/>
  <c r="AU19" i="27"/>
  <c r="AX19" i="27" s="1"/>
  <c r="F19" i="30" s="1"/>
  <c r="AU9" i="27"/>
  <c r="AX9" i="27" s="1"/>
  <c r="F9" i="30" s="1"/>
  <c r="AU45" i="27"/>
  <c r="AX45" i="27" s="1"/>
  <c r="F45" i="30" s="1"/>
  <c r="AC50" i="27"/>
  <c r="BC94" i="27"/>
  <c r="AC32" i="27"/>
  <c r="AC44" i="27"/>
  <c r="AL82" i="27"/>
  <c r="AU8" i="27"/>
  <c r="AX8" i="27" s="1"/>
  <c r="F8" i="30" s="1"/>
  <c r="AC69" i="27"/>
  <c r="AU44" i="27"/>
  <c r="AX44" i="27" s="1"/>
  <c r="F44" i="30" s="1"/>
  <c r="AU47" i="27"/>
  <c r="AX47" i="27" s="1"/>
  <c r="F47" i="30" s="1"/>
  <c r="AC51" i="27"/>
  <c r="AX32" i="27"/>
  <c r="F32" i="30" s="1"/>
  <c r="AX79" i="27"/>
  <c r="F79" i="30" s="1"/>
  <c r="AK4" i="27"/>
  <c r="AK83" i="27" s="1"/>
  <c r="AU73" i="27"/>
  <c r="AX73" i="27" s="1"/>
  <c r="F73" i="30" s="1"/>
  <c r="AU30" i="27"/>
  <c r="AX30" i="27" s="1"/>
  <c r="F30" i="30" s="1"/>
  <c r="AX55" i="27"/>
  <c r="F55" i="30" s="1"/>
  <c r="AX6" i="27"/>
  <c r="F6" i="30" s="1"/>
  <c r="AX48" i="27"/>
  <c r="F48" i="30" s="1"/>
  <c r="AL65" i="27"/>
  <c r="AU16" i="27"/>
  <c r="AX16" i="27" s="1"/>
  <c r="F16" i="30" s="1"/>
  <c r="AC65" i="27"/>
  <c r="AU46" i="27"/>
  <c r="AX46" i="27" s="1"/>
  <c r="F46" i="30" s="1"/>
  <c r="AC60" i="27"/>
  <c r="AL32" i="27"/>
  <c r="AU52" i="27"/>
  <c r="AX52" i="27" s="1"/>
  <c r="F52" i="30" s="1"/>
  <c r="AL72" i="27"/>
  <c r="AU29" i="27"/>
  <c r="AX29" i="27" s="1"/>
  <c r="F29" i="30" s="1"/>
  <c r="AL30" i="27"/>
  <c r="AL54" i="27"/>
  <c r="AU11" i="27"/>
  <c r="AX11" i="27" s="1"/>
  <c r="F11" i="30" s="1"/>
  <c r="AL12" i="27"/>
  <c r="AL8" i="27"/>
  <c r="AL57" i="27"/>
  <c r="AL56" i="27"/>
  <c r="AL60" i="27"/>
  <c r="AU41" i="27"/>
  <c r="AX41" i="27" s="1"/>
  <c r="F41" i="30" s="1"/>
  <c r="AL62" i="27"/>
  <c r="AL29" i="27"/>
  <c r="AC17" i="27"/>
  <c r="AL5" i="27"/>
  <c r="AC5" i="27"/>
  <c r="AC7" i="27"/>
  <c r="AX12" i="27"/>
  <c r="F12" i="30" s="1"/>
  <c r="AX23" i="27"/>
  <c r="F23" i="30" s="1"/>
  <c r="AX5" i="27"/>
  <c r="F5" i="30" s="1"/>
  <c r="AX34" i="27"/>
  <c r="F34" i="30" s="1"/>
  <c r="AX70" i="27"/>
  <c r="F70" i="30" s="1"/>
  <c r="AX50" i="27"/>
  <c r="F50" i="30" s="1"/>
  <c r="AX39" i="27"/>
  <c r="F39" i="30" s="1"/>
  <c r="AX26" i="27"/>
  <c r="F26" i="30" s="1"/>
  <c r="AX57" i="27"/>
  <c r="F57" i="30" s="1"/>
  <c r="AL17" i="27"/>
  <c r="AC11" i="27"/>
  <c r="AL47" i="27"/>
  <c r="AL38" i="27"/>
  <c r="AL33" i="27"/>
  <c r="AC82" i="27"/>
  <c r="AU33" i="27"/>
  <c r="AX33" i="27" s="1"/>
  <c r="F33" i="30" s="1"/>
  <c r="AU68" i="27"/>
  <c r="AX68" i="27" s="1"/>
  <c r="F68" i="30" s="1"/>
  <c r="AC23" i="27"/>
  <c r="AC68" i="27"/>
  <c r="AU82" i="27"/>
  <c r="AX82" i="27" s="1"/>
  <c r="AL77" i="27"/>
  <c r="AL23" i="27"/>
  <c r="AU62" i="27"/>
  <c r="AX62" i="27" s="1"/>
  <c r="F62" i="30" s="1"/>
  <c r="AU77" i="27"/>
  <c r="AX77" i="27" s="1"/>
  <c r="F77" i="30" s="1"/>
  <c r="AL7" i="27"/>
  <c r="AL27" i="27"/>
  <c r="AL52" i="27"/>
  <c r="AC75" i="27"/>
  <c r="AL26" i="27"/>
  <c r="AU81" i="27"/>
  <c r="AX81" i="27" s="1"/>
  <c r="F81" i="30" s="1"/>
  <c r="AU56" i="27"/>
  <c r="AX56" i="27" s="1"/>
  <c r="AC57" i="27"/>
  <c r="AU24" i="27"/>
  <c r="AX24" i="27" s="1"/>
  <c r="F24" i="30" s="1"/>
  <c r="AL22" i="27"/>
  <c r="AL16" i="27"/>
  <c r="AC26" i="27"/>
  <c r="AU22" i="27"/>
  <c r="AX22" i="27" s="1"/>
  <c r="F22" i="30" s="1"/>
  <c r="AC27" i="27"/>
  <c r="AL46" i="27"/>
  <c r="AL10" i="27"/>
  <c r="AL41" i="27"/>
  <c r="AL75" i="27"/>
  <c r="AL81" i="27"/>
  <c r="AL28" i="27"/>
  <c r="AL50" i="27"/>
  <c r="AL69" i="27"/>
  <c r="AC39" i="27"/>
  <c r="AL39" i="27"/>
  <c r="AX65" i="27"/>
  <c r="F65" i="30" s="1"/>
  <c r="AC19" i="27"/>
  <c r="AL45" i="27"/>
  <c r="BC49" i="27"/>
  <c r="BE49" i="27" s="1"/>
  <c r="AC22" i="27"/>
  <c r="AL24" i="27"/>
  <c r="AX58" i="27"/>
  <c r="F58" i="30" s="1"/>
  <c r="AU63" i="27"/>
  <c r="AX63" i="27" s="1"/>
  <c r="F63" i="30" s="1"/>
  <c r="AA4" i="27"/>
  <c r="AX67" i="27"/>
  <c r="F67" i="30" s="1"/>
  <c r="AL51" i="27"/>
  <c r="AX31" i="27"/>
  <c r="F31" i="30" s="1"/>
  <c r="AC63" i="27"/>
  <c r="AL73" i="27"/>
  <c r="AU10" i="27"/>
  <c r="AX10" i="27" s="1"/>
  <c r="AC72" i="27"/>
  <c r="AX78" i="27"/>
  <c r="F78" i="30" s="1"/>
  <c r="AX28" i="27"/>
  <c r="F28" i="30" s="1"/>
  <c r="AC74" i="27"/>
  <c r="AU74" i="27"/>
  <c r="AX74" i="27" s="1"/>
  <c r="F74" i="30" s="1"/>
  <c r="AX7" i="27"/>
  <c r="F7" i="30" s="1"/>
  <c r="AX75" i="27"/>
  <c r="F75" i="30" s="1"/>
  <c r="AX66" i="27"/>
  <c r="F66" i="30" s="1"/>
  <c r="AX43" i="27"/>
  <c r="F43" i="30" s="1"/>
  <c r="AL71" i="27"/>
  <c r="AX36" i="27"/>
  <c r="F36" i="30" s="1"/>
  <c r="AX40" i="27"/>
  <c r="F40" i="30" s="1"/>
  <c r="Q26" i="29"/>
  <c r="C26" i="30"/>
  <c r="Q13" i="29"/>
  <c r="C13" i="30"/>
  <c r="Q77" i="29"/>
  <c r="C77" i="30"/>
  <c r="Q66" i="29"/>
  <c r="C66" i="30"/>
  <c r="Q24" i="29"/>
  <c r="C24" i="30"/>
  <c r="Q59" i="29"/>
  <c r="C59" i="30"/>
  <c r="Q40" i="29"/>
  <c r="C40" i="30"/>
  <c r="Q41" i="29"/>
  <c r="C41" i="30"/>
  <c r="Q37" i="29"/>
  <c r="C37" i="30"/>
  <c r="G37" i="30" s="1"/>
  <c r="Q48" i="29"/>
  <c r="C48" i="30"/>
  <c r="Q11" i="29"/>
  <c r="C11" i="30"/>
  <c r="Q65" i="29"/>
  <c r="C65" i="30"/>
  <c r="Q6" i="29"/>
  <c r="C6" i="30"/>
  <c r="Q62" i="29"/>
  <c r="C62" i="30"/>
  <c r="Q67" i="29"/>
  <c r="C67" i="30"/>
  <c r="Q70" i="29"/>
  <c r="C70" i="30"/>
  <c r="Q12" i="29"/>
  <c r="C12" i="30"/>
  <c r="Q20" i="29"/>
  <c r="C20" i="30"/>
  <c r="G20" i="30" s="1"/>
  <c r="Q79" i="29"/>
  <c r="C79" i="30"/>
  <c r="Q10" i="29"/>
  <c r="C10" i="30"/>
  <c r="Q7" i="29"/>
  <c r="C7" i="30"/>
  <c r="AL18" i="27"/>
  <c r="Q9" i="29"/>
  <c r="C9" i="30"/>
  <c r="Q53" i="29"/>
  <c r="C53" i="30"/>
  <c r="Q73" i="29"/>
  <c r="C73" i="30"/>
  <c r="Q8" i="29"/>
  <c r="C8" i="30"/>
  <c r="Q43" i="29"/>
  <c r="C43" i="30"/>
  <c r="Q74" i="29"/>
  <c r="C74" i="30"/>
  <c r="Q60" i="29"/>
  <c r="C60" i="30"/>
  <c r="Q46" i="29"/>
  <c r="C46" i="30"/>
  <c r="Q69" i="29"/>
  <c r="C69" i="30"/>
  <c r="G69" i="30" s="1"/>
  <c r="Q71" i="29"/>
  <c r="C71" i="30"/>
  <c r="AU72" i="27"/>
  <c r="AX72" i="27" s="1"/>
  <c r="F72" i="30" s="1"/>
  <c r="Q28" i="29"/>
  <c r="C28" i="30"/>
  <c r="Q39" i="29"/>
  <c r="C39" i="30"/>
  <c r="Q61" i="29"/>
  <c r="C61" i="30"/>
  <c r="G61" i="30" s="1"/>
  <c r="Q78" i="29"/>
  <c r="C78" i="30"/>
  <c r="Q19" i="29"/>
  <c r="C19" i="30"/>
  <c r="Q14" i="29"/>
  <c r="C14" i="30"/>
  <c r="Q52" i="29"/>
  <c r="C52" i="30"/>
  <c r="Q51" i="29"/>
  <c r="C51" i="30"/>
  <c r="G51" i="30" s="1"/>
  <c r="Q68" i="29"/>
  <c r="C68" i="30"/>
  <c r="Q21" i="29"/>
  <c r="C21" i="30"/>
  <c r="Q34" i="29"/>
  <c r="C34" i="30"/>
  <c r="Q54" i="29"/>
  <c r="C54" i="30"/>
  <c r="Q82" i="29"/>
  <c r="C82" i="30"/>
  <c r="Q63" i="29"/>
  <c r="C63" i="30"/>
  <c r="Q32" i="29"/>
  <c r="C32" i="30"/>
  <c r="AV83" i="27"/>
  <c r="Q38" i="29"/>
  <c r="C38" i="30"/>
  <c r="Q15" i="29"/>
  <c r="C15" i="30"/>
  <c r="AL35" i="27"/>
  <c r="Q17" i="29"/>
  <c r="C17" i="30"/>
  <c r="Q18" i="29"/>
  <c r="C18" i="30"/>
  <c r="AX25" i="27"/>
  <c r="F25" i="30" s="1"/>
  <c r="AX38" i="27"/>
  <c r="F38" i="30" s="1"/>
  <c r="AC78" i="27"/>
  <c r="AX21" i="27"/>
  <c r="F21" i="30" s="1"/>
  <c r="AU35" i="27"/>
  <c r="AX35" i="27" s="1"/>
  <c r="F35" i="30" s="1"/>
  <c r="AL78" i="27"/>
  <c r="Q45" i="29"/>
  <c r="C45" i="30"/>
  <c r="Q75" i="29"/>
  <c r="C75" i="30"/>
  <c r="Q44" i="29"/>
  <c r="C44" i="30"/>
  <c r="Q47" i="29"/>
  <c r="C47" i="30"/>
  <c r="Q55" i="29"/>
  <c r="C55" i="30"/>
  <c r="Q50" i="29"/>
  <c r="C50" i="30"/>
  <c r="BC20" i="27"/>
  <c r="BE20" i="27" s="1"/>
  <c r="Q36" i="29"/>
  <c r="C36" i="30"/>
  <c r="Q72" i="29"/>
  <c r="C72" i="30"/>
  <c r="AC28" i="27"/>
  <c r="Q56" i="29"/>
  <c r="C56" i="30"/>
  <c r="Q25" i="29"/>
  <c r="C25" i="30"/>
  <c r="Q22" i="29"/>
  <c r="C22" i="30"/>
  <c r="Q29" i="29"/>
  <c r="C29" i="30"/>
  <c r="Q42" i="29"/>
  <c r="C42" i="30"/>
  <c r="Q23" i="29"/>
  <c r="C23" i="30"/>
  <c r="Q35" i="29"/>
  <c r="C35" i="30"/>
  <c r="AU18" i="27"/>
  <c r="AX18" i="27" s="1"/>
  <c r="F18" i="30" s="1"/>
  <c r="AC53" i="27"/>
  <c r="Q80" i="29"/>
  <c r="C80" i="30"/>
  <c r="Q33" i="29"/>
  <c r="C33" i="30"/>
  <c r="Q30" i="29"/>
  <c r="C30" i="30"/>
  <c r="Q16" i="29"/>
  <c r="C16" i="30"/>
  <c r="Q57" i="29"/>
  <c r="C57" i="30"/>
  <c r="Q5" i="29"/>
  <c r="C5" i="30"/>
  <c r="Q31" i="29"/>
  <c r="C31" i="30"/>
  <c r="Q49" i="29"/>
  <c r="C49" i="30"/>
  <c r="G49" i="30" s="1"/>
  <c r="Q76" i="29"/>
  <c r="C76" i="30"/>
  <c r="G76" i="30" s="1"/>
  <c r="AX60" i="27"/>
  <c r="F60" i="30" s="1"/>
  <c r="AU53" i="27"/>
  <c r="AX53" i="27" s="1"/>
  <c r="F53" i="30" s="1"/>
  <c r="AX27" i="27"/>
  <c r="F27" i="30" s="1"/>
  <c r="Q27" i="29"/>
  <c r="C27" i="30"/>
  <c r="Q64" i="29"/>
  <c r="C64" i="30"/>
  <c r="Q58" i="29"/>
  <c r="C58" i="30"/>
  <c r="Q81" i="29"/>
  <c r="C81" i="30"/>
  <c r="L84" i="29"/>
  <c r="K4" i="29"/>
  <c r="C4" i="30" s="1"/>
  <c r="AO111" i="27"/>
  <c r="BC76" i="27"/>
  <c r="BC61" i="27"/>
  <c r="BC37" i="27"/>
  <c r="G54" i="30" l="1"/>
  <c r="G17" i="30"/>
  <c r="G14" i="30"/>
  <c r="BC14" i="27"/>
  <c r="BC55" i="27"/>
  <c r="BC47" i="27"/>
  <c r="BE47" i="27" s="1"/>
  <c r="G16" i="30"/>
  <c r="G23" i="30"/>
  <c r="G71" i="30"/>
  <c r="BC50" i="27"/>
  <c r="BE50" i="27" s="1"/>
  <c r="BC71" i="27"/>
  <c r="BE71" i="27" s="1"/>
  <c r="BC16" i="27"/>
  <c r="BE16" i="27" s="1"/>
  <c r="BC54" i="27"/>
  <c r="BE54" i="27" s="1"/>
  <c r="BC19" i="27"/>
  <c r="BE19" i="27" s="1"/>
  <c r="G43" i="30"/>
  <c r="G46" i="30"/>
  <c r="G8" i="30"/>
  <c r="BC73" i="27"/>
  <c r="BE73" i="27" s="1"/>
  <c r="G19" i="30"/>
  <c r="G73" i="30"/>
  <c r="BC46" i="27"/>
  <c r="BE46" i="27" s="1"/>
  <c r="BC69" i="27"/>
  <c r="C69" i="14" s="1"/>
  <c r="BC11" i="27"/>
  <c r="BE11" i="27" s="1"/>
  <c r="G32" i="30"/>
  <c r="G79" i="30"/>
  <c r="G77" i="30"/>
  <c r="BC48" i="27"/>
  <c r="C48" i="14" s="1"/>
  <c r="BC8" i="27"/>
  <c r="BE8" i="27" s="1"/>
  <c r="BC32" i="27"/>
  <c r="BE32" i="27" s="1"/>
  <c r="G29" i="30"/>
  <c r="BC12" i="27"/>
  <c r="BE12" i="27" s="1"/>
  <c r="G62" i="30"/>
  <c r="G48" i="30"/>
  <c r="BC79" i="27"/>
  <c r="C79" i="14" s="1"/>
  <c r="BC31" i="27"/>
  <c r="BE31" i="27" s="1"/>
  <c r="G12" i="30"/>
  <c r="G26" i="30"/>
  <c r="G55" i="30"/>
  <c r="G15" i="30"/>
  <c r="BC44" i="27"/>
  <c r="BE44" i="27" s="1"/>
  <c r="G6" i="30"/>
  <c r="G47" i="30"/>
  <c r="BC6" i="27"/>
  <c r="C6" i="14" s="1"/>
  <c r="G52" i="30"/>
  <c r="G44" i="30"/>
  <c r="BC51" i="27"/>
  <c r="BE51" i="27" s="1"/>
  <c r="BC15" i="27"/>
  <c r="BE15" i="27" s="1"/>
  <c r="G67" i="30"/>
  <c r="G57" i="30"/>
  <c r="BC57" i="27"/>
  <c r="BE57" i="27" s="1"/>
  <c r="G11" i="30"/>
  <c r="BC29" i="27"/>
  <c r="BE29" i="27" s="1"/>
  <c r="BC52" i="27"/>
  <c r="BE52" i="27" s="1"/>
  <c r="F82" i="30"/>
  <c r="G82" i="30" s="1"/>
  <c r="BC82" i="27"/>
  <c r="C82" i="14" s="1"/>
  <c r="G58" i="30"/>
  <c r="BC70" i="27"/>
  <c r="C70" i="14" s="1"/>
  <c r="G70" i="30"/>
  <c r="BC26" i="27"/>
  <c r="BE26" i="27" s="1"/>
  <c r="BC77" i="27"/>
  <c r="C77" i="14" s="1"/>
  <c r="BC5" i="27"/>
  <c r="BE5" i="27" s="1"/>
  <c r="G5" i="30"/>
  <c r="G75" i="30"/>
  <c r="BC17" i="27"/>
  <c r="BE17" i="27" s="1"/>
  <c r="G34" i="30"/>
  <c r="BC34" i="27"/>
  <c r="BE34" i="27" s="1"/>
  <c r="G50" i="30"/>
  <c r="BC23" i="27"/>
  <c r="C23" i="14" s="1"/>
  <c r="BC80" i="27"/>
  <c r="C80" i="14" s="1"/>
  <c r="BC75" i="27"/>
  <c r="BE75" i="27" s="1"/>
  <c r="G39" i="30"/>
  <c r="BC41" i="27"/>
  <c r="C41" i="14" s="1"/>
  <c r="F56" i="30"/>
  <c r="G56" i="30" s="1"/>
  <c r="BC56" i="27"/>
  <c r="C56" i="14" s="1"/>
  <c r="BC18" i="27"/>
  <c r="BE18" i="27" s="1"/>
  <c r="BC81" i="27"/>
  <c r="C81" i="14" s="1"/>
  <c r="BC67" i="27"/>
  <c r="C67" i="14" s="1"/>
  <c r="G31" i="30"/>
  <c r="G30" i="30"/>
  <c r="BC9" i="27"/>
  <c r="BE9" i="27" s="1"/>
  <c r="BC28" i="27"/>
  <c r="C28" i="14" s="1"/>
  <c r="BC30" i="27"/>
  <c r="BE30" i="27" s="1"/>
  <c r="BC39" i="27"/>
  <c r="BE39" i="27" s="1"/>
  <c r="BC43" i="27"/>
  <c r="BE43" i="27" s="1"/>
  <c r="BC24" i="27"/>
  <c r="BE24" i="27" s="1"/>
  <c r="BC66" i="27"/>
  <c r="BE66" i="27" s="1"/>
  <c r="G42" i="30"/>
  <c r="G28" i="30"/>
  <c r="G24" i="30"/>
  <c r="BC65" i="27"/>
  <c r="BE65" i="27" s="1"/>
  <c r="G78" i="30"/>
  <c r="G65" i="30"/>
  <c r="G41" i="30"/>
  <c r="G66" i="30"/>
  <c r="AC4" i="27"/>
  <c r="AC83" i="27" s="1"/>
  <c r="BC62" i="27"/>
  <c r="BE62" i="27" s="1"/>
  <c r="G81" i="30"/>
  <c r="BC42" i="27"/>
  <c r="BE42" i="27" s="1"/>
  <c r="G21" i="30"/>
  <c r="G53" i="30"/>
  <c r="G13" i="30"/>
  <c r="AA86" i="27"/>
  <c r="AA87" i="27" s="1"/>
  <c r="C49" i="14"/>
  <c r="G33" i="30"/>
  <c r="BC59" i="27"/>
  <c r="BE59" i="27" s="1"/>
  <c r="G74" i="30"/>
  <c r="BC63" i="27"/>
  <c r="BE63" i="27" s="1"/>
  <c r="G40" i="30"/>
  <c r="BC64" i="27"/>
  <c r="C64" i="14" s="1"/>
  <c r="BC33" i="27"/>
  <c r="BE33" i="27" s="1"/>
  <c r="G80" i="30"/>
  <c r="AL4" i="27"/>
  <c r="AL83" i="27" s="1"/>
  <c r="G72" i="30"/>
  <c r="G63" i="30"/>
  <c r="BC35" i="27"/>
  <c r="BE35" i="27" s="1"/>
  <c r="AU4" i="27"/>
  <c r="AU83" i="27" s="1"/>
  <c r="AA83" i="27"/>
  <c r="G7" i="30"/>
  <c r="F10" i="30"/>
  <c r="G10" i="30" s="1"/>
  <c r="BC10" i="27"/>
  <c r="C10" i="14" s="1"/>
  <c r="BC13" i="27"/>
  <c r="C13" i="14" s="1"/>
  <c r="BC58" i="27"/>
  <c r="C58" i="14" s="1"/>
  <c r="BC36" i="27"/>
  <c r="BE36" i="27" s="1"/>
  <c r="BC21" i="27"/>
  <c r="BE21" i="27" s="1"/>
  <c r="G27" i="30"/>
  <c r="G36" i="30"/>
  <c r="BC60" i="27"/>
  <c r="BE60" i="27" s="1"/>
  <c r="G35" i="30"/>
  <c r="BC40" i="27"/>
  <c r="BE40" i="27" s="1"/>
  <c r="C20" i="14"/>
  <c r="BC22" i="27"/>
  <c r="BE22" i="27" s="1"/>
  <c r="BC7" i="27"/>
  <c r="BE7" i="27" s="1"/>
  <c r="BC53" i="27"/>
  <c r="C53" i="14" s="1"/>
  <c r="BC72" i="27"/>
  <c r="BE72" i="27" s="1"/>
  <c r="BC45" i="27"/>
  <c r="C45" i="14" s="1"/>
  <c r="BC78" i="27"/>
  <c r="C78" i="14" s="1"/>
  <c r="BC74" i="27"/>
  <c r="BE74" i="27" s="1"/>
  <c r="G9" i="30"/>
  <c r="G68" i="30"/>
  <c r="G45" i="30"/>
  <c r="G38" i="30"/>
  <c r="G59" i="30"/>
  <c r="C83" i="30"/>
  <c r="G22" i="30"/>
  <c r="BC25" i="27"/>
  <c r="G18" i="30"/>
  <c r="G60" i="30"/>
  <c r="BC38" i="27"/>
  <c r="C38" i="14" s="1"/>
  <c r="BC68" i="27"/>
  <c r="C68" i="14" s="1"/>
  <c r="G64" i="30"/>
  <c r="BC27" i="27"/>
  <c r="C27" i="14" s="1"/>
  <c r="G25" i="30"/>
  <c r="C46" i="14"/>
  <c r="BE76" i="27"/>
  <c r="C76" i="14"/>
  <c r="BE14" i="27"/>
  <c r="C14" i="14"/>
  <c r="BE55" i="27"/>
  <c r="C55" i="14"/>
  <c r="BE37" i="27"/>
  <c r="C37" i="14"/>
  <c r="BE61" i="27"/>
  <c r="C61" i="14"/>
  <c r="K84" i="29"/>
  <c r="Q4" i="29"/>
  <c r="Q84" i="29" s="1"/>
  <c r="C11" i="14" l="1"/>
  <c r="C47" i="14"/>
  <c r="C31" i="14"/>
  <c r="BE48" i="27"/>
  <c r="C71" i="14"/>
  <c r="BE69" i="27"/>
  <c r="C73" i="14"/>
  <c r="BE70" i="27"/>
  <c r="C57" i="14"/>
  <c r="C50" i="14"/>
  <c r="C16" i="14"/>
  <c r="BE79" i="27"/>
  <c r="C44" i="14"/>
  <c r="C19" i="14"/>
  <c r="C75" i="14"/>
  <c r="BE6" i="27"/>
  <c r="C12" i="14"/>
  <c r="C32" i="14"/>
  <c r="C54" i="14"/>
  <c r="BE13" i="27"/>
  <c r="C8" i="14"/>
  <c r="C15" i="14"/>
  <c r="C51" i="14"/>
  <c r="BE23" i="27"/>
  <c r="C29" i="14"/>
  <c r="C52" i="14"/>
  <c r="BE77" i="27"/>
  <c r="BE41" i="27"/>
  <c r="BE78" i="27"/>
  <c r="BE82" i="27"/>
  <c r="C17" i="14"/>
  <c r="C30" i="14"/>
  <c r="BE64" i="27"/>
  <c r="C26" i="14"/>
  <c r="BE56" i="27"/>
  <c r="C5" i="14"/>
  <c r="C60" i="14"/>
  <c r="BE10" i="27"/>
  <c r="C62" i="14"/>
  <c r="C34" i="14"/>
  <c r="BE28" i="27"/>
  <c r="BC90" i="27"/>
  <c r="BE80" i="27"/>
  <c r="BE53" i="27"/>
  <c r="BE67" i="27"/>
  <c r="C18" i="14"/>
  <c r="C39" i="14"/>
  <c r="BE58" i="27"/>
  <c r="C43" i="14"/>
  <c r="C65" i="14"/>
  <c r="C42" i="14"/>
  <c r="BE81" i="27"/>
  <c r="C40" i="14"/>
  <c r="C24" i="14"/>
  <c r="C9" i="14"/>
  <c r="BE38" i="27"/>
  <c r="BE68" i="27"/>
  <c r="C35" i="14"/>
  <c r="C36" i="14"/>
  <c r="C59" i="14"/>
  <c r="BE27" i="27"/>
  <c r="C74" i="14"/>
  <c r="C66" i="14"/>
  <c r="C22" i="14"/>
  <c r="C33" i="14"/>
  <c r="BE45" i="27"/>
  <c r="AX4" i="27"/>
  <c r="BC4" i="27" s="1"/>
  <c r="BC83" i="27" s="1"/>
  <c r="C21" i="14"/>
  <c r="C63" i="14"/>
  <c r="C7" i="14"/>
  <c r="C72" i="14"/>
  <c r="C25" i="14"/>
  <c r="BE25" i="27"/>
  <c r="AX87" i="27"/>
  <c r="BC85" i="27" l="1"/>
  <c r="C84" i="14" s="1"/>
  <c r="F4" i="30"/>
  <c r="F83" i="30" s="1"/>
  <c r="AX83" i="27"/>
  <c r="BE4" i="27"/>
  <c r="BE83" i="27" s="1"/>
  <c r="C4" i="14"/>
  <c r="S9" i="14"/>
  <c r="M106" i="27" l="1"/>
  <c r="AX88" i="27"/>
  <c r="AX89" i="27" s="1"/>
  <c r="AX91" i="27" s="1"/>
  <c r="G4" i="30"/>
  <c r="G83" i="30" s="1"/>
  <c r="BC93" i="27"/>
  <c r="BC96" i="27" s="1"/>
  <c r="J7" i="25"/>
  <c r="BD91" i="27" l="1"/>
  <c r="BD92" i="27"/>
  <c r="BD93" i="27"/>
  <c r="BD94" i="27"/>
  <c r="BD96" i="27"/>
  <c r="BD88" i="27"/>
  <c r="BD90" i="27"/>
  <c r="BD95" i="27"/>
  <c r="BD89" i="27"/>
  <c r="P84" i="10"/>
  <c r="Q86" i="14"/>
  <c r="L27" i="10" l="1"/>
  <c r="M27" i="10" s="1"/>
  <c r="L35" i="10"/>
  <c r="M35" i="10" s="1"/>
  <c r="L59" i="10"/>
  <c r="M59" i="10" s="1"/>
  <c r="L67" i="10"/>
  <c r="M67" i="10" s="1"/>
  <c r="L6" i="10"/>
  <c r="M6" i="10" s="1"/>
  <c r="L9" i="10"/>
  <c r="M9" i="10" s="1"/>
  <c r="L11" i="10"/>
  <c r="M11" i="10" s="1"/>
  <c r="L14" i="10"/>
  <c r="M14" i="10" s="1"/>
  <c r="L17" i="10"/>
  <c r="M17" i="10" s="1"/>
  <c r="L19" i="10"/>
  <c r="M19" i="10" s="1"/>
  <c r="L22" i="10"/>
  <c r="M22" i="10" s="1"/>
  <c r="L25" i="10"/>
  <c r="M25" i="10" s="1"/>
  <c r="L30" i="10"/>
  <c r="M30" i="10" s="1"/>
  <c r="L33" i="10"/>
  <c r="M33" i="10" s="1"/>
  <c r="L38" i="10"/>
  <c r="M38" i="10" s="1"/>
  <c r="L41" i="10"/>
  <c r="M41" i="10" s="1"/>
  <c r="L43" i="10"/>
  <c r="M43" i="10" s="1"/>
  <c r="L46" i="10"/>
  <c r="M46" i="10" s="1"/>
  <c r="L49" i="10"/>
  <c r="M49" i="10" s="1"/>
  <c r="L51" i="10"/>
  <c r="M51" i="10" s="1"/>
  <c r="L54" i="10"/>
  <c r="M54" i="10" s="1"/>
  <c r="L57" i="10"/>
  <c r="M57" i="10" s="1"/>
  <c r="L62" i="10"/>
  <c r="M62" i="10" s="1"/>
  <c r="L65" i="10"/>
  <c r="M65" i="10" s="1"/>
  <c r="L70" i="10"/>
  <c r="M70" i="10" s="1"/>
  <c r="L73" i="10"/>
  <c r="M73" i="10" s="1"/>
  <c r="L75" i="10"/>
  <c r="M75" i="10" s="1"/>
  <c r="L78" i="10"/>
  <c r="M78" i="10" s="1"/>
  <c r="L81" i="10"/>
  <c r="M81" i="10" s="1"/>
  <c r="L4" i="10"/>
  <c r="L64" i="10" l="1"/>
  <c r="M64" i="10" s="1"/>
  <c r="L48" i="10"/>
  <c r="M48" i="10" s="1"/>
  <c r="L32" i="10"/>
  <c r="M32" i="10" s="1"/>
  <c r="L8" i="10"/>
  <c r="M8" i="10" s="1"/>
  <c r="L80" i="10"/>
  <c r="M80" i="10" s="1"/>
  <c r="L72" i="10"/>
  <c r="M72" i="10" s="1"/>
  <c r="L56" i="10"/>
  <c r="M56" i="10" s="1"/>
  <c r="L40" i="10"/>
  <c r="M40" i="10" s="1"/>
  <c r="L24" i="10"/>
  <c r="M24" i="10" s="1"/>
  <c r="L16" i="10"/>
  <c r="M16" i="10" s="1"/>
  <c r="L79" i="10"/>
  <c r="M79" i="10" s="1"/>
  <c r="L71" i="10"/>
  <c r="M71" i="10" s="1"/>
  <c r="L63" i="10"/>
  <c r="M63" i="10" s="1"/>
  <c r="L55" i="10"/>
  <c r="M55" i="10" s="1"/>
  <c r="L47" i="10"/>
  <c r="M47" i="10" s="1"/>
  <c r="L39" i="10"/>
  <c r="M39" i="10" s="1"/>
  <c r="L31" i="10"/>
  <c r="M31" i="10" s="1"/>
  <c r="L23" i="10"/>
  <c r="M23" i="10" s="1"/>
  <c r="L15" i="10"/>
  <c r="M15" i="10" s="1"/>
  <c r="L7" i="10"/>
  <c r="M7" i="10" s="1"/>
  <c r="L77" i="10"/>
  <c r="M77" i="10" s="1"/>
  <c r="L69" i="10"/>
  <c r="M69" i="10" s="1"/>
  <c r="L61" i="10"/>
  <c r="M61" i="10" s="1"/>
  <c r="L53" i="10"/>
  <c r="M53" i="10" s="1"/>
  <c r="L45" i="10"/>
  <c r="M45" i="10" s="1"/>
  <c r="L37" i="10"/>
  <c r="M37" i="10" s="1"/>
  <c r="L29" i="10"/>
  <c r="M29" i="10" s="1"/>
  <c r="L21" i="10"/>
  <c r="M21" i="10" s="1"/>
  <c r="L13" i="10"/>
  <c r="M13" i="10" s="1"/>
  <c r="L5" i="10"/>
  <c r="M5" i="10" s="1"/>
  <c r="L76" i="10"/>
  <c r="M76" i="10" s="1"/>
  <c r="L68" i="10"/>
  <c r="M68" i="10" s="1"/>
  <c r="L60" i="10"/>
  <c r="M60" i="10" s="1"/>
  <c r="L52" i="10"/>
  <c r="M52" i="10" s="1"/>
  <c r="L44" i="10"/>
  <c r="M44" i="10" s="1"/>
  <c r="L36" i="10"/>
  <c r="M36" i="10" s="1"/>
  <c r="L28" i="10"/>
  <c r="M28" i="10" s="1"/>
  <c r="L20" i="10"/>
  <c r="M20" i="10" s="1"/>
  <c r="L12" i="10"/>
  <c r="M12" i="10" s="1"/>
  <c r="L82" i="10"/>
  <c r="M82" i="10" s="1"/>
  <c r="L74" i="10"/>
  <c r="M74" i="10" s="1"/>
  <c r="L66" i="10"/>
  <c r="M66" i="10" s="1"/>
  <c r="L58" i="10"/>
  <c r="M58" i="10" s="1"/>
  <c r="L50" i="10"/>
  <c r="M50" i="10" s="1"/>
  <c r="L42" i="10"/>
  <c r="M42" i="10" s="1"/>
  <c r="L34" i="10"/>
  <c r="M34" i="10" s="1"/>
  <c r="L26" i="10"/>
  <c r="M26" i="10" s="1"/>
  <c r="L18" i="10"/>
  <c r="M18" i="10" s="1"/>
  <c r="L10" i="10"/>
  <c r="M10" i="10" s="1"/>
  <c r="L85" i="10"/>
  <c r="M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4" i="10"/>
  <c r="G83" i="10"/>
  <c r="L83" i="10" l="1"/>
  <c r="C93" i="22" l="1"/>
  <c r="F88" i="22" l="1"/>
  <c r="H88" i="22" s="1"/>
  <c r="AA84" i="24" l="1"/>
  <c r="D84" i="24" l="1"/>
  <c r="D83" i="24"/>
  <c r="C89" i="18" l="1"/>
  <c r="S4" i="14" l="1"/>
  <c r="J5" i="25" l="1"/>
  <c r="J6" i="25" l="1"/>
  <c r="J8" i="25"/>
  <c r="J9" i="25"/>
  <c r="H5" i="26"/>
  <c r="I5" i="26"/>
  <c r="H6" i="26"/>
  <c r="I6" i="26"/>
  <c r="H7" i="26"/>
  <c r="I7" i="26"/>
  <c r="H8" i="26"/>
  <c r="I8" i="26"/>
  <c r="H9" i="26"/>
  <c r="I9" i="26"/>
  <c r="H10" i="26"/>
  <c r="I10" i="26"/>
  <c r="H11" i="26"/>
  <c r="I11" i="26"/>
  <c r="H12" i="26"/>
  <c r="I12" i="26"/>
  <c r="H13" i="26"/>
  <c r="I13" i="26"/>
  <c r="H14" i="26"/>
  <c r="I14" i="26"/>
  <c r="H15" i="26"/>
  <c r="I15" i="26"/>
  <c r="H16" i="26"/>
  <c r="I16" i="26"/>
  <c r="H17" i="26"/>
  <c r="I17" i="26"/>
  <c r="H18" i="26"/>
  <c r="I18" i="26"/>
  <c r="H19" i="26"/>
  <c r="I19" i="26"/>
  <c r="H20" i="26"/>
  <c r="I20" i="26"/>
  <c r="I21" i="26"/>
  <c r="H22" i="26"/>
  <c r="I22" i="26"/>
  <c r="H23" i="26"/>
  <c r="I23" i="26"/>
  <c r="H24" i="26"/>
  <c r="I24" i="26"/>
  <c r="H25" i="26"/>
  <c r="I25" i="26"/>
  <c r="H26" i="26"/>
  <c r="I26" i="26"/>
  <c r="H27" i="26"/>
  <c r="I27" i="26"/>
  <c r="H28" i="26"/>
  <c r="I28" i="26"/>
  <c r="H29" i="26"/>
  <c r="I29" i="26"/>
  <c r="H30" i="26"/>
  <c r="I30" i="26"/>
  <c r="H31" i="26"/>
  <c r="I31" i="26"/>
  <c r="H32" i="26"/>
  <c r="I32" i="26"/>
  <c r="H33" i="26"/>
  <c r="I33" i="26"/>
  <c r="H34" i="26"/>
  <c r="I34" i="26"/>
  <c r="H35" i="26"/>
  <c r="I35" i="26"/>
  <c r="H36" i="26"/>
  <c r="I36" i="26"/>
  <c r="H37" i="26"/>
  <c r="I37" i="26"/>
  <c r="H38" i="26"/>
  <c r="I38" i="26"/>
  <c r="H39" i="26"/>
  <c r="I39" i="26"/>
  <c r="H40" i="26"/>
  <c r="I40" i="26"/>
  <c r="H41" i="26"/>
  <c r="I41" i="26"/>
  <c r="H42" i="26"/>
  <c r="I42" i="26"/>
  <c r="H43" i="26"/>
  <c r="I43" i="26"/>
  <c r="H44" i="26"/>
  <c r="I44" i="26"/>
  <c r="H45" i="26"/>
  <c r="I45" i="26"/>
  <c r="H46" i="26"/>
  <c r="I46" i="26"/>
  <c r="H47" i="26"/>
  <c r="I47" i="26"/>
  <c r="H48" i="26"/>
  <c r="I48" i="26"/>
  <c r="H49" i="26"/>
  <c r="I49" i="26"/>
  <c r="I50" i="26"/>
  <c r="H51" i="26"/>
  <c r="I51" i="26"/>
  <c r="H52" i="26"/>
  <c r="I52" i="26"/>
  <c r="H53" i="26"/>
  <c r="I53" i="26"/>
  <c r="H54" i="26"/>
  <c r="I54" i="26"/>
  <c r="I55" i="26"/>
  <c r="H56" i="26"/>
  <c r="I56" i="26"/>
  <c r="H57" i="26"/>
  <c r="I57" i="26"/>
  <c r="H58" i="26"/>
  <c r="I58" i="26"/>
  <c r="H59" i="26"/>
  <c r="I59" i="26"/>
  <c r="H60" i="26"/>
  <c r="I60" i="26"/>
  <c r="H61" i="26"/>
  <c r="I61" i="26"/>
  <c r="H62" i="26"/>
  <c r="I62" i="26"/>
  <c r="H63" i="26"/>
  <c r="I63" i="26"/>
  <c r="H64" i="26"/>
  <c r="I64" i="26"/>
  <c r="H65" i="26"/>
  <c r="I65" i="26"/>
  <c r="H66" i="26"/>
  <c r="I66" i="26"/>
  <c r="H67" i="26"/>
  <c r="I67" i="26"/>
  <c r="H68" i="26"/>
  <c r="I68" i="26"/>
  <c r="H69" i="26"/>
  <c r="I69" i="26"/>
  <c r="H70" i="26"/>
  <c r="I70" i="26"/>
  <c r="H71" i="26"/>
  <c r="I71" i="26"/>
  <c r="H72" i="26"/>
  <c r="I72" i="26"/>
  <c r="H73" i="26"/>
  <c r="I73" i="26"/>
  <c r="H74" i="26"/>
  <c r="I74" i="26"/>
  <c r="H75" i="26"/>
  <c r="I75" i="26"/>
  <c r="H76" i="26"/>
  <c r="I76" i="26"/>
  <c r="H77" i="26"/>
  <c r="I77" i="26"/>
  <c r="H78" i="26"/>
  <c r="I78" i="26"/>
  <c r="H79" i="26"/>
  <c r="I79" i="26"/>
  <c r="H80" i="26"/>
  <c r="I80" i="26"/>
  <c r="H81" i="26"/>
  <c r="I81" i="26"/>
  <c r="H82" i="26"/>
  <c r="I82" i="26"/>
  <c r="I4" i="26"/>
  <c r="H4" i="26"/>
  <c r="G83" i="26"/>
  <c r="E81" i="26"/>
  <c r="E77" i="26"/>
  <c r="E69" i="26"/>
  <c r="E67" i="26"/>
  <c r="E61" i="26"/>
  <c r="E59" i="26"/>
  <c r="E58" i="26"/>
  <c r="H55" i="26"/>
  <c r="E51" i="26"/>
  <c r="H50" i="26"/>
  <c r="E50" i="26"/>
  <c r="E48" i="26"/>
  <c r="E46" i="26"/>
  <c r="E45" i="26"/>
  <c r="E39" i="26"/>
  <c r="E37" i="26"/>
  <c r="E29" i="26"/>
  <c r="E25" i="26"/>
  <c r="E24" i="26"/>
  <c r="H21" i="26"/>
  <c r="Q84" i="24"/>
  <c r="Q83" i="24"/>
  <c r="Q94" i="24" s="1"/>
  <c r="N84" i="24"/>
  <c r="N83" i="24"/>
  <c r="N94" i="24" s="1"/>
  <c r="I10" i="25" l="1"/>
  <c r="J4" i="25"/>
  <c r="J10" i="25" s="1"/>
  <c r="J7" i="26"/>
  <c r="K7" i="26" s="1"/>
  <c r="M7" i="26" s="1"/>
  <c r="J45" i="26"/>
  <c r="K45" i="26" s="1"/>
  <c r="R45" i="14" s="1"/>
  <c r="J39" i="26"/>
  <c r="K39" i="26" s="1"/>
  <c r="M39" i="26" s="1"/>
  <c r="J66" i="26"/>
  <c r="K66" i="26" s="1"/>
  <c r="R66" i="14" s="1"/>
  <c r="J62" i="26"/>
  <c r="K62" i="26" s="1"/>
  <c r="M62" i="26" s="1"/>
  <c r="J42" i="26"/>
  <c r="K42" i="26" s="1"/>
  <c r="M42" i="26" s="1"/>
  <c r="J10" i="26"/>
  <c r="K10" i="26" s="1"/>
  <c r="R10" i="14" s="1"/>
  <c r="J80" i="26"/>
  <c r="K80" i="26" s="1"/>
  <c r="J79" i="26"/>
  <c r="K79" i="26" s="1"/>
  <c r="J60" i="26"/>
  <c r="K60" i="26" s="1"/>
  <c r="J6" i="26"/>
  <c r="K6" i="26" s="1"/>
  <c r="J28" i="26"/>
  <c r="K28" i="26" s="1"/>
  <c r="E34" i="26"/>
  <c r="E49" i="26"/>
  <c r="E56" i="26"/>
  <c r="E73" i="26"/>
  <c r="J19" i="26"/>
  <c r="K19" i="26" s="1"/>
  <c r="J32" i="26"/>
  <c r="K32" i="26" s="1"/>
  <c r="J36" i="26"/>
  <c r="K36" i="26" s="1"/>
  <c r="E53" i="26"/>
  <c r="E55" i="26"/>
  <c r="J59" i="26"/>
  <c r="K59" i="26" s="1"/>
  <c r="E62" i="26"/>
  <c r="E79" i="26"/>
  <c r="J40" i="26"/>
  <c r="K40" i="26" s="1"/>
  <c r="J65" i="26"/>
  <c r="K65" i="26" s="1"/>
  <c r="E72" i="26"/>
  <c r="J74" i="26"/>
  <c r="K74" i="26" s="1"/>
  <c r="J35" i="26"/>
  <c r="K35" i="26" s="1"/>
  <c r="C83" i="26"/>
  <c r="E6" i="26"/>
  <c r="J54" i="26"/>
  <c r="K54" i="26" s="1"/>
  <c r="E65" i="26"/>
  <c r="E70" i="26"/>
  <c r="J72" i="26"/>
  <c r="K72" i="26" s="1"/>
  <c r="E78" i="26"/>
  <c r="E10" i="26"/>
  <c r="E14" i="26"/>
  <c r="E18" i="26"/>
  <c r="E31" i="26"/>
  <c r="E35" i="26"/>
  <c r="J77" i="26"/>
  <c r="K77" i="26" s="1"/>
  <c r="E43" i="26"/>
  <c r="J49" i="26"/>
  <c r="K49" i="26" s="1"/>
  <c r="E54" i="26"/>
  <c r="E64" i="26"/>
  <c r="E75" i="26"/>
  <c r="E21" i="26"/>
  <c r="J82" i="26"/>
  <c r="K82" i="26" s="1"/>
  <c r="J20" i="26"/>
  <c r="K20" i="26" s="1"/>
  <c r="E20" i="26"/>
  <c r="E17" i="26"/>
  <c r="J18" i="26"/>
  <c r="K18" i="26" s="1"/>
  <c r="J26" i="26"/>
  <c r="K26" i="26" s="1"/>
  <c r="J41" i="26"/>
  <c r="K41" i="26" s="1"/>
  <c r="E41" i="26"/>
  <c r="J51" i="26"/>
  <c r="K51" i="26" s="1"/>
  <c r="J68" i="26"/>
  <c r="K68" i="26" s="1"/>
  <c r="J11" i="26"/>
  <c r="K11" i="26" s="1"/>
  <c r="E16" i="26"/>
  <c r="J16" i="26"/>
  <c r="K16" i="26" s="1"/>
  <c r="J56" i="26"/>
  <c r="K56" i="26" s="1"/>
  <c r="D83" i="26"/>
  <c r="J9" i="26"/>
  <c r="K9" i="26" s="1"/>
  <c r="E9" i="26"/>
  <c r="J63" i="26"/>
  <c r="K63" i="26" s="1"/>
  <c r="E63" i="26"/>
  <c r="E68" i="26"/>
  <c r="J73" i="26"/>
  <c r="K73" i="26" s="1"/>
  <c r="J15" i="26"/>
  <c r="K15" i="26" s="1"/>
  <c r="J17" i="26"/>
  <c r="K17" i="26" s="1"/>
  <c r="E8" i="26"/>
  <c r="J47" i="26"/>
  <c r="K47" i="26" s="1"/>
  <c r="E47" i="26"/>
  <c r="J70" i="26"/>
  <c r="K70" i="26" s="1"/>
  <c r="J23" i="26"/>
  <c r="K23" i="26" s="1"/>
  <c r="E23" i="26"/>
  <c r="E4" i="26"/>
  <c r="J27" i="26"/>
  <c r="K27" i="26" s="1"/>
  <c r="E27" i="26"/>
  <c r="E13" i="26"/>
  <c r="J13" i="26"/>
  <c r="K13" i="26" s="1"/>
  <c r="J14" i="26"/>
  <c r="K14" i="26" s="1"/>
  <c r="J30" i="26"/>
  <c r="K30" i="26" s="1"/>
  <c r="E30" i="26"/>
  <c r="J31" i="26"/>
  <c r="K31" i="26" s="1"/>
  <c r="J52" i="26"/>
  <c r="K52" i="26" s="1"/>
  <c r="E52" i="26"/>
  <c r="J64" i="26"/>
  <c r="K64" i="26" s="1"/>
  <c r="J78" i="26"/>
  <c r="K78" i="26" s="1"/>
  <c r="E5" i="26"/>
  <c r="J5" i="26"/>
  <c r="K5" i="26" s="1"/>
  <c r="J44" i="26"/>
  <c r="K44" i="26" s="1"/>
  <c r="E44" i="26"/>
  <c r="J33" i="26"/>
  <c r="K33" i="26" s="1"/>
  <c r="E33" i="26"/>
  <c r="J38" i="26"/>
  <c r="K38" i="26" s="1"/>
  <c r="E38" i="26"/>
  <c r="J46" i="26"/>
  <c r="K46" i="26" s="1"/>
  <c r="J57" i="26"/>
  <c r="K57" i="26" s="1"/>
  <c r="E57" i="26"/>
  <c r="J69" i="26"/>
  <c r="K69" i="26" s="1"/>
  <c r="J76" i="26"/>
  <c r="K76" i="26" s="1"/>
  <c r="F83" i="26"/>
  <c r="J21" i="26"/>
  <c r="K21" i="26" s="1"/>
  <c r="J12" i="26"/>
  <c r="K12" i="26" s="1"/>
  <c r="E12" i="26"/>
  <c r="L83" i="26"/>
  <c r="J22" i="26"/>
  <c r="K22" i="26" s="1"/>
  <c r="E22" i="26"/>
  <c r="J71" i="26"/>
  <c r="K71" i="26" s="1"/>
  <c r="E71" i="26"/>
  <c r="E11" i="26"/>
  <c r="E19" i="26"/>
  <c r="J24" i="26"/>
  <c r="K24" i="26" s="1"/>
  <c r="J25" i="26"/>
  <c r="K25" i="26" s="1"/>
  <c r="E26" i="26"/>
  <c r="E32" i="26"/>
  <c r="E40" i="26"/>
  <c r="J50" i="26"/>
  <c r="K50" i="26" s="1"/>
  <c r="J55" i="26"/>
  <c r="K55" i="26" s="1"/>
  <c r="J61" i="26"/>
  <c r="K61" i="26" s="1"/>
  <c r="J37" i="26"/>
  <c r="K37" i="26" s="1"/>
  <c r="J43" i="26"/>
  <c r="K43" i="26" s="1"/>
  <c r="J48" i="26"/>
  <c r="K48" i="26" s="1"/>
  <c r="J53" i="26"/>
  <c r="K53" i="26" s="1"/>
  <c r="J58" i="26"/>
  <c r="K58" i="26" s="1"/>
  <c r="J67" i="26"/>
  <c r="K67" i="26" s="1"/>
  <c r="J75" i="26"/>
  <c r="K75" i="26" s="1"/>
  <c r="E76" i="26"/>
  <c r="J81" i="26"/>
  <c r="K81" i="26" s="1"/>
  <c r="E82" i="26"/>
  <c r="J29" i="26"/>
  <c r="K29" i="26" s="1"/>
  <c r="J34" i="26"/>
  <c r="K34" i="26" s="1"/>
  <c r="E7" i="26"/>
  <c r="E15" i="26"/>
  <c r="E28" i="26"/>
  <c r="E36" i="26"/>
  <c r="E42" i="26"/>
  <c r="E60" i="26"/>
  <c r="E66" i="26"/>
  <c r="E74" i="26"/>
  <c r="E80" i="26"/>
  <c r="D94" i="24"/>
  <c r="R7" i="14" l="1"/>
  <c r="M66" i="26"/>
  <c r="M45" i="26"/>
  <c r="M10" i="26"/>
  <c r="R42" i="14"/>
  <c r="R39" i="14"/>
  <c r="R62" i="14"/>
  <c r="M61" i="26"/>
  <c r="R61" i="14"/>
  <c r="M12" i="26"/>
  <c r="R12" i="14"/>
  <c r="M78" i="26"/>
  <c r="M13" i="26"/>
  <c r="R13" i="14"/>
  <c r="M63" i="26"/>
  <c r="R63" i="14"/>
  <c r="M68" i="26"/>
  <c r="R68" i="14"/>
  <c r="M20" i="26"/>
  <c r="R20" i="14"/>
  <c r="M77" i="26"/>
  <c r="R77" i="14"/>
  <c r="M65" i="26"/>
  <c r="R65" i="14"/>
  <c r="M32" i="26"/>
  <c r="R32" i="14"/>
  <c r="M60" i="26"/>
  <c r="R60" i="14"/>
  <c r="M75" i="26"/>
  <c r="R75" i="14"/>
  <c r="M55" i="26"/>
  <c r="R55" i="14"/>
  <c r="M21" i="26"/>
  <c r="R21" i="14"/>
  <c r="M38" i="26"/>
  <c r="R38" i="14"/>
  <c r="M64" i="26"/>
  <c r="R64" i="14"/>
  <c r="M47" i="26"/>
  <c r="R47" i="14"/>
  <c r="M82" i="26"/>
  <c r="R82" i="14"/>
  <c r="M40" i="26"/>
  <c r="R40" i="14"/>
  <c r="M19" i="26"/>
  <c r="R19" i="14"/>
  <c r="M79" i="26"/>
  <c r="R79" i="14"/>
  <c r="M67" i="26"/>
  <c r="R67" i="14"/>
  <c r="M50" i="26"/>
  <c r="R50" i="14"/>
  <c r="M9" i="26"/>
  <c r="R9" i="14"/>
  <c r="M54" i="26"/>
  <c r="R54" i="14"/>
  <c r="M80" i="26"/>
  <c r="R80" i="14"/>
  <c r="M41" i="26"/>
  <c r="R41" i="14"/>
  <c r="M51" i="26"/>
  <c r="R51" i="14"/>
  <c r="M71" i="26"/>
  <c r="R71" i="14"/>
  <c r="M33" i="26"/>
  <c r="R33" i="14"/>
  <c r="M27" i="26"/>
  <c r="R27" i="14"/>
  <c r="M53" i="26"/>
  <c r="R53" i="14"/>
  <c r="M15" i="26"/>
  <c r="R15" i="14"/>
  <c r="M56" i="26"/>
  <c r="R56" i="14"/>
  <c r="M59" i="26"/>
  <c r="R59" i="14"/>
  <c r="M29" i="26"/>
  <c r="R29" i="14"/>
  <c r="M48" i="26"/>
  <c r="R48" i="14"/>
  <c r="M22" i="26"/>
  <c r="R22" i="14"/>
  <c r="M44" i="26"/>
  <c r="R44" i="14"/>
  <c r="M73" i="26"/>
  <c r="R73" i="14"/>
  <c r="M16" i="26"/>
  <c r="R16" i="14"/>
  <c r="M18" i="26"/>
  <c r="R18" i="14"/>
  <c r="M35" i="26"/>
  <c r="R35" i="14"/>
  <c r="M43" i="26"/>
  <c r="R43" i="14"/>
  <c r="M25" i="26"/>
  <c r="R25" i="14"/>
  <c r="M57" i="26"/>
  <c r="R57" i="14"/>
  <c r="M5" i="26"/>
  <c r="R5" i="14"/>
  <c r="M30" i="26"/>
  <c r="R30" i="14"/>
  <c r="M23" i="26"/>
  <c r="R23" i="14"/>
  <c r="M49" i="26"/>
  <c r="R49" i="14"/>
  <c r="M74" i="26"/>
  <c r="R74" i="14"/>
  <c r="M28" i="26"/>
  <c r="R28" i="14"/>
  <c r="M58" i="26"/>
  <c r="R58" i="14"/>
  <c r="M76" i="26"/>
  <c r="R76" i="14"/>
  <c r="M52" i="26"/>
  <c r="R52" i="14"/>
  <c r="M17" i="26"/>
  <c r="R17" i="14"/>
  <c r="M34" i="26"/>
  <c r="R34" i="14"/>
  <c r="M69" i="26"/>
  <c r="R69" i="14"/>
  <c r="M31" i="26"/>
  <c r="R31" i="14"/>
  <c r="M26" i="26"/>
  <c r="R26" i="14"/>
  <c r="M81" i="26"/>
  <c r="R81" i="14"/>
  <c r="M37" i="26"/>
  <c r="R37" i="14"/>
  <c r="M24" i="26"/>
  <c r="R24" i="14"/>
  <c r="M46" i="26"/>
  <c r="R46" i="14"/>
  <c r="M14" i="26"/>
  <c r="R14" i="14"/>
  <c r="M70" i="26"/>
  <c r="R70" i="14"/>
  <c r="M11" i="26"/>
  <c r="R11" i="14"/>
  <c r="M72" i="26"/>
  <c r="R72" i="14"/>
  <c r="M36" i="26"/>
  <c r="R36" i="14"/>
  <c r="M6" i="26"/>
  <c r="R6" i="14"/>
  <c r="J8" i="26"/>
  <c r="K8" i="26" s="1"/>
  <c r="E83" i="26"/>
  <c r="H83" i="26"/>
  <c r="J4" i="26"/>
  <c r="I83" i="26"/>
  <c r="E5" i="18"/>
  <c r="E6" i="18"/>
  <c r="E7" i="18"/>
  <c r="E79" i="18"/>
  <c r="E80" i="18"/>
  <c r="E81" i="18"/>
  <c r="E82" i="18"/>
  <c r="E4" i="18"/>
  <c r="M8" i="26" l="1"/>
  <c r="R8" i="14"/>
  <c r="J83" i="26"/>
  <c r="K4" i="26"/>
  <c r="R4" i="14" s="1"/>
  <c r="W88" i="24"/>
  <c r="W92" i="24"/>
  <c r="K83" i="26" l="1"/>
  <c r="K85" i="26" s="1"/>
  <c r="R84" i="14" s="1"/>
  <c r="M4" i="26"/>
  <c r="M83" i="26" s="1"/>
  <c r="F83" i="10" l="1"/>
  <c r="G84" i="10" s="1"/>
  <c r="Y16" i="22" l="1"/>
  <c r="Y5" i="22"/>
  <c r="Y6" i="22"/>
  <c r="Y7" i="22"/>
  <c r="Y8" i="22"/>
  <c r="Y9" i="22"/>
  <c r="Y10" i="22"/>
  <c r="Y11" i="22"/>
  <c r="Y12" i="22"/>
  <c r="Y13" i="22"/>
  <c r="Y14" i="22"/>
  <c r="Y15" i="22"/>
  <c r="Y17" i="22"/>
  <c r="Y18" i="22"/>
  <c r="Y19" i="22"/>
  <c r="Y20" i="22"/>
  <c r="Y21" i="22"/>
  <c r="Y22" i="22"/>
  <c r="Y23" i="22"/>
  <c r="Y24" i="22"/>
  <c r="Y25" i="22"/>
  <c r="Y26" i="22"/>
  <c r="Y27" i="22"/>
  <c r="Y28" i="22"/>
  <c r="Y29" i="22"/>
  <c r="Y30" i="22"/>
  <c r="Y31" i="22"/>
  <c r="Y32" i="22"/>
  <c r="Y33" i="22"/>
  <c r="Y34" i="22"/>
  <c r="Y35" i="22"/>
  <c r="Y36" i="22"/>
  <c r="Y37" i="22"/>
  <c r="Y38" i="22"/>
  <c r="Y39" i="22"/>
  <c r="Y40" i="22"/>
  <c r="Y41" i="22"/>
  <c r="Y42" i="22"/>
  <c r="Y43" i="22"/>
  <c r="Y44" i="22"/>
  <c r="Y45" i="22"/>
  <c r="Y46" i="22"/>
  <c r="Y47" i="22"/>
  <c r="Y48" i="22"/>
  <c r="Y49" i="22"/>
  <c r="Y50" i="22"/>
  <c r="Y51" i="22"/>
  <c r="Y52" i="22"/>
  <c r="Y53" i="22"/>
  <c r="Y54" i="22"/>
  <c r="Y55" i="22"/>
  <c r="Y56" i="22"/>
  <c r="Y57" i="22"/>
  <c r="Y58" i="22"/>
  <c r="Y59" i="22"/>
  <c r="Y60" i="22"/>
  <c r="Y61" i="22"/>
  <c r="Y62" i="22"/>
  <c r="Y63" i="22"/>
  <c r="Y64" i="22"/>
  <c r="Y65" i="22"/>
  <c r="Y66" i="22"/>
  <c r="Y67" i="22"/>
  <c r="Y68" i="22"/>
  <c r="Y69" i="22"/>
  <c r="Y70" i="22"/>
  <c r="Y71" i="22"/>
  <c r="Y72" i="22"/>
  <c r="Y73" i="22"/>
  <c r="Y74" i="22"/>
  <c r="Y75" i="22"/>
  <c r="Y76" i="22"/>
  <c r="Y77" i="22"/>
  <c r="Y78" i="22"/>
  <c r="Y79" i="22"/>
  <c r="Y80" i="22"/>
  <c r="Y81" i="22"/>
  <c r="Y82" i="22"/>
  <c r="Y4" i="22"/>
  <c r="AT8" i="22"/>
  <c r="AT16" i="22"/>
  <c r="AT24" i="22"/>
  <c r="AT32" i="22"/>
  <c r="AT40" i="22"/>
  <c r="AT48" i="22"/>
  <c r="AT56" i="22"/>
  <c r="AT64" i="22"/>
  <c r="AT72" i="22"/>
  <c r="AT80" i="22"/>
  <c r="AT68" i="22" l="1"/>
  <c r="AT67" i="22"/>
  <c r="AT51" i="22"/>
  <c r="AT35" i="22"/>
  <c r="AT27" i="22"/>
  <c r="AT11" i="22"/>
  <c r="AT82" i="22"/>
  <c r="AT74" i="22"/>
  <c r="AT66" i="22"/>
  <c r="AT58" i="22"/>
  <c r="AT50" i="22"/>
  <c r="AT42" i="22"/>
  <c r="AT34" i="22"/>
  <c r="AT26" i="22"/>
  <c r="AT18" i="22"/>
  <c r="AT10" i="22"/>
  <c r="AT75" i="22"/>
  <c r="AT59" i="22"/>
  <c r="AT81" i="22"/>
  <c r="AT73" i="22"/>
  <c r="AT65" i="22"/>
  <c r="AT57" i="22"/>
  <c r="AT49" i="22"/>
  <c r="AT41" i="22"/>
  <c r="AT33" i="22"/>
  <c r="AT25" i="22"/>
  <c r="AT17" i="22"/>
  <c r="AT9" i="22"/>
  <c r="AT79" i="22"/>
  <c r="AT71" i="22"/>
  <c r="AT63" i="22"/>
  <c r="AT55" i="22"/>
  <c r="AT47" i="22"/>
  <c r="AT39" i="22"/>
  <c r="AT31" i="22"/>
  <c r="AT23" i="22"/>
  <c r="AT15" i="22"/>
  <c r="AT7" i="22"/>
  <c r="AT78" i="22"/>
  <c r="AT62" i="22"/>
  <c r="AT46" i="22"/>
  <c r="AT30" i="22"/>
  <c r="AT22" i="22"/>
  <c r="AT14" i="22"/>
  <c r="AT6" i="22"/>
  <c r="AT70" i="22"/>
  <c r="AT54" i="22"/>
  <c r="AT38" i="22"/>
  <c r="AT77" i="22"/>
  <c r="AT69" i="22"/>
  <c r="AT61" i="22"/>
  <c r="AT53" i="22"/>
  <c r="AT45" i="22"/>
  <c r="AT37" i="22"/>
  <c r="AT29" i="22"/>
  <c r="AT21" i="22"/>
  <c r="AT13" i="22"/>
  <c r="AT5" i="22"/>
  <c r="AT60" i="22"/>
  <c r="AT52" i="22"/>
  <c r="AT44" i="22"/>
  <c r="AT36" i="22"/>
  <c r="AT28" i="22"/>
  <c r="AT20" i="22"/>
  <c r="AT12" i="22"/>
  <c r="AT4" i="22"/>
  <c r="AT76" i="22"/>
  <c r="AT43" i="22"/>
  <c r="AT19" i="22"/>
  <c r="W91" i="24" l="1"/>
  <c r="H11" i="25"/>
  <c r="S19" i="14"/>
  <c r="S55" i="14"/>
  <c r="S50" i="14"/>
  <c r="S21" i="14"/>
  <c r="H10" i="25"/>
  <c r="G10" i="25"/>
  <c r="F10" i="25"/>
  <c r="E10" i="25"/>
  <c r="D10" i="25"/>
  <c r="C10" i="25"/>
  <c r="B10" i="25"/>
  <c r="H12" i="25" l="1"/>
  <c r="S84" i="14" s="1"/>
  <c r="S83" i="14"/>
  <c r="S85" i="14" l="1"/>
  <c r="S87" i="14" s="1"/>
  <c r="E83" i="10" l="1"/>
  <c r="F84" i="10" s="1"/>
  <c r="K83" i="10" l="1"/>
  <c r="K85" i="10"/>
  <c r="J85" i="10" l="1"/>
  <c r="J83" i="10"/>
  <c r="T86" i="14"/>
  <c r="AW13" i="22" l="1"/>
  <c r="L13" i="14" s="1"/>
  <c r="AW18" i="22"/>
  <c r="L18" i="14" s="1"/>
  <c r="AP24" i="22"/>
  <c r="AW29" i="22"/>
  <c r="L29" i="14" s="1"/>
  <c r="AW42" i="22"/>
  <c r="L42" i="14" s="1"/>
  <c r="AP42" i="22"/>
  <c r="AW45" i="22"/>
  <c r="L45" i="14" s="1"/>
  <c r="AW53" i="22"/>
  <c r="L53" i="14" s="1"/>
  <c r="AW69" i="22" l="1"/>
  <c r="L69" i="14" s="1"/>
  <c r="AW76" i="22"/>
  <c r="L76" i="14" s="1"/>
  <c r="AW68" i="22"/>
  <c r="L68" i="14" s="1"/>
  <c r="AW60" i="22"/>
  <c r="L60" i="14" s="1"/>
  <c r="AW52" i="22"/>
  <c r="L52" i="14" s="1"/>
  <c r="AW44" i="22"/>
  <c r="L44" i="14" s="1"/>
  <c r="AW36" i="22"/>
  <c r="L36" i="14" s="1"/>
  <c r="AW28" i="22"/>
  <c r="L28" i="14" s="1"/>
  <c r="AW20" i="22"/>
  <c r="L20" i="14" s="1"/>
  <c r="AW12" i="22"/>
  <c r="L12" i="14" s="1"/>
  <c r="AW77" i="22"/>
  <c r="L77" i="14" s="1"/>
  <c r="AW75" i="22"/>
  <c r="L75" i="14" s="1"/>
  <c r="AW59" i="22"/>
  <c r="L59" i="14" s="1"/>
  <c r="AW27" i="22"/>
  <c r="L27" i="14" s="1"/>
  <c r="AW74" i="22"/>
  <c r="L74" i="14" s="1"/>
  <c r="AW50" i="22"/>
  <c r="L50" i="14" s="1"/>
  <c r="AW81" i="22"/>
  <c r="L81" i="14" s="1"/>
  <c r="AW73" i="22"/>
  <c r="L73" i="14" s="1"/>
  <c r="AW65" i="22"/>
  <c r="L65" i="14" s="1"/>
  <c r="AW57" i="22"/>
  <c r="L57" i="14" s="1"/>
  <c r="AW49" i="22"/>
  <c r="L49" i="14" s="1"/>
  <c r="AW41" i="22"/>
  <c r="L41" i="14" s="1"/>
  <c r="AW33" i="22"/>
  <c r="L33" i="14" s="1"/>
  <c r="AW25" i="22"/>
  <c r="L25" i="14" s="1"/>
  <c r="AW17" i="22"/>
  <c r="L17" i="14" s="1"/>
  <c r="AW9" i="22"/>
  <c r="L9" i="14" s="1"/>
  <c r="AW37" i="22"/>
  <c r="L37" i="14" s="1"/>
  <c r="AW82" i="22"/>
  <c r="L82" i="14" s="1"/>
  <c r="AW34" i="22"/>
  <c r="L34" i="14" s="1"/>
  <c r="AW10" i="22"/>
  <c r="L10" i="14" s="1"/>
  <c r="AW80" i="22"/>
  <c r="L80" i="14" s="1"/>
  <c r="AW72" i="22"/>
  <c r="L72" i="14" s="1"/>
  <c r="AW48" i="22"/>
  <c r="L48" i="14" s="1"/>
  <c r="AW32" i="22"/>
  <c r="L32" i="14" s="1"/>
  <c r="AW24" i="22"/>
  <c r="L24" i="14" s="1"/>
  <c r="AW16" i="22"/>
  <c r="L16" i="14" s="1"/>
  <c r="AW8" i="22"/>
  <c r="L8" i="14" s="1"/>
  <c r="AW21" i="22"/>
  <c r="L21" i="14" s="1"/>
  <c r="AW5" i="22"/>
  <c r="L5" i="14" s="1"/>
  <c r="AW43" i="22"/>
  <c r="L43" i="14" s="1"/>
  <c r="AW19" i="22"/>
  <c r="L19" i="14" s="1"/>
  <c r="AW11" i="22"/>
  <c r="L11" i="14" s="1"/>
  <c r="AW58" i="22"/>
  <c r="L58" i="14" s="1"/>
  <c r="AW26" i="22"/>
  <c r="L26" i="14" s="1"/>
  <c r="AW64" i="22"/>
  <c r="L64" i="14" s="1"/>
  <c r="AW56" i="22"/>
  <c r="L56" i="14" s="1"/>
  <c r="AW40" i="22"/>
  <c r="L40" i="14" s="1"/>
  <c r="AW79" i="22"/>
  <c r="L79" i="14" s="1"/>
  <c r="AW71" i="22"/>
  <c r="L71" i="14" s="1"/>
  <c r="AW63" i="22"/>
  <c r="L63" i="14" s="1"/>
  <c r="AW55" i="22"/>
  <c r="L55" i="14" s="1"/>
  <c r="AW47" i="22"/>
  <c r="L47" i="14" s="1"/>
  <c r="AW39" i="22"/>
  <c r="L39" i="14" s="1"/>
  <c r="AW31" i="22"/>
  <c r="L31" i="14" s="1"/>
  <c r="AW23" i="22"/>
  <c r="L23" i="14" s="1"/>
  <c r="AW15" i="22"/>
  <c r="L15" i="14" s="1"/>
  <c r="AW7" i="22"/>
  <c r="L7" i="14" s="1"/>
  <c r="AW61" i="22"/>
  <c r="L61" i="14" s="1"/>
  <c r="AW67" i="22"/>
  <c r="L67" i="14" s="1"/>
  <c r="AW51" i="22"/>
  <c r="L51" i="14" s="1"/>
  <c r="AW35" i="22"/>
  <c r="L35" i="14" s="1"/>
  <c r="AW4" i="22"/>
  <c r="L4" i="14" s="1"/>
  <c r="AW66" i="22"/>
  <c r="L66" i="14" s="1"/>
  <c r="AW78" i="22"/>
  <c r="L78" i="14" s="1"/>
  <c r="AW70" i="22"/>
  <c r="L70" i="14" s="1"/>
  <c r="AW62" i="22"/>
  <c r="L62" i="14" s="1"/>
  <c r="AW54" i="22"/>
  <c r="L54" i="14" s="1"/>
  <c r="AW46" i="22"/>
  <c r="L46" i="14" s="1"/>
  <c r="AW38" i="22"/>
  <c r="L38" i="14" s="1"/>
  <c r="AW30" i="22"/>
  <c r="L30" i="14" s="1"/>
  <c r="AW22" i="22"/>
  <c r="L22" i="14" s="1"/>
  <c r="AW14" i="22"/>
  <c r="L14" i="14" s="1"/>
  <c r="AW6" i="22"/>
  <c r="L6" i="14" s="1"/>
  <c r="L83" i="14" l="1"/>
  <c r="AW83" i="22"/>
  <c r="L85" i="14" l="1"/>
  <c r="C103" i="22"/>
  <c r="D83" i="10" l="1"/>
  <c r="E84" i="10" s="1"/>
  <c r="W90" i="24" l="1"/>
  <c r="L83" i="22" l="1"/>
  <c r="W89" i="24" l="1"/>
  <c r="C87" i="20" l="1"/>
  <c r="I85" i="10" l="1"/>
  <c r="I83" i="10"/>
  <c r="AP7" i="22" l="1"/>
  <c r="E83" i="22"/>
  <c r="T84" i="24" l="1"/>
  <c r="T83" i="24"/>
  <c r="T94" i="24" l="1"/>
  <c r="T95" i="24" s="1"/>
  <c r="F84" i="24" l="1"/>
  <c r="G84" i="24"/>
  <c r="H84" i="24"/>
  <c r="I84" i="24"/>
  <c r="J84" i="24"/>
  <c r="K84" i="24"/>
  <c r="L84" i="24"/>
  <c r="M84" i="24"/>
  <c r="P84" i="24"/>
  <c r="R84" i="24"/>
  <c r="S84" i="24"/>
  <c r="U84" i="24"/>
  <c r="W84" i="24"/>
  <c r="V84" i="24" l="1"/>
  <c r="T4" i="10"/>
  <c r="T77" i="10"/>
  <c r="T73" i="10"/>
  <c r="T69" i="10"/>
  <c r="T65" i="10"/>
  <c r="T61" i="10"/>
  <c r="T57" i="10"/>
  <c r="T53" i="10"/>
  <c r="T49" i="10"/>
  <c r="T45" i="10"/>
  <c r="T41" i="10"/>
  <c r="T33" i="10"/>
  <c r="T29" i="10"/>
  <c r="T25" i="10"/>
  <c r="T21" i="10"/>
  <c r="T17" i="10"/>
  <c r="T13" i="10"/>
  <c r="T9" i="10"/>
  <c r="T5" i="10"/>
  <c r="T79" i="10"/>
  <c r="T75" i="10"/>
  <c r="T71" i="10"/>
  <c r="T67" i="10"/>
  <c r="T63" i="10"/>
  <c r="T59" i="10"/>
  <c r="T55" i="10"/>
  <c r="T51" i="10"/>
  <c r="T47" i="10"/>
  <c r="T43" i="10"/>
  <c r="T39" i="10"/>
  <c r="T35" i="10"/>
  <c r="T31" i="10"/>
  <c r="T27" i="10"/>
  <c r="T23" i="10"/>
  <c r="T19" i="10"/>
  <c r="T15" i="10"/>
  <c r="T11" i="10"/>
  <c r="T7" i="10"/>
  <c r="T82" i="10"/>
  <c r="T78" i="10"/>
  <c r="T74" i="10"/>
  <c r="T70" i="10"/>
  <c r="T66" i="10"/>
  <c r="T62" i="10"/>
  <c r="T58" i="10"/>
  <c r="T54" i="10"/>
  <c r="T50" i="10"/>
  <c r="T46" i="10"/>
  <c r="T42" i="10"/>
  <c r="T38" i="10"/>
  <c r="T34" i="10"/>
  <c r="T30" i="10"/>
  <c r="T26" i="10"/>
  <c r="T22" i="10"/>
  <c r="T18" i="10"/>
  <c r="T14" i="10"/>
  <c r="T10" i="10"/>
  <c r="T6" i="10"/>
  <c r="T81" i="10"/>
  <c r="T37" i="10"/>
  <c r="T80" i="10"/>
  <c r="T76" i="10"/>
  <c r="T72" i="10"/>
  <c r="T68" i="10"/>
  <c r="T64" i="10"/>
  <c r="T60" i="10"/>
  <c r="T56" i="10"/>
  <c r="T52" i="10"/>
  <c r="T48" i="10"/>
  <c r="T44" i="10"/>
  <c r="T40" i="10"/>
  <c r="T36" i="10"/>
  <c r="T32" i="10"/>
  <c r="T28" i="10"/>
  <c r="T24" i="10"/>
  <c r="T20" i="10"/>
  <c r="T16" i="10"/>
  <c r="T12" i="10"/>
  <c r="T8" i="10"/>
  <c r="V83" i="24"/>
  <c r="S83" i="10"/>
  <c r="V94" i="24" l="1"/>
  <c r="V95" i="24" s="1"/>
  <c r="T83" i="10"/>
  <c r="N83" i="10"/>
  <c r="W83" i="24"/>
  <c r="F61" i="20" l="1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4" i="20"/>
  <c r="D83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4" i="20"/>
  <c r="AK4" i="22" l="1"/>
  <c r="AK75" i="22"/>
  <c r="AK59" i="22"/>
  <c r="AK47" i="22"/>
  <c r="AK31" i="22"/>
  <c r="AK79" i="22"/>
  <c r="AK67" i="22"/>
  <c r="AK63" i="22"/>
  <c r="AK43" i="22"/>
  <c r="AK39" i="22"/>
  <c r="AK35" i="22"/>
  <c r="AK19" i="22"/>
  <c r="AK11" i="22"/>
  <c r="AK7" i="22"/>
  <c r="AK82" i="22"/>
  <c r="AK78" i="22"/>
  <c r="AK74" i="22"/>
  <c r="AK66" i="22"/>
  <c r="AK54" i="22"/>
  <c r="AK42" i="22"/>
  <c r="AK38" i="22"/>
  <c r="AP30" i="22"/>
  <c r="AK30" i="22"/>
  <c r="AK18" i="22"/>
  <c r="AK70" i="22"/>
  <c r="AK62" i="22"/>
  <c r="AK58" i="22"/>
  <c r="AK50" i="22"/>
  <c r="AK46" i="22"/>
  <c r="AK34" i="22"/>
  <c r="AK26" i="22"/>
  <c r="AK22" i="22"/>
  <c r="AK14" i="22"/>
  <c r="AK10" i="22"/>
  <c r="AK6" i="22"/>
  <c r="AK81" i="22"/>
  <c r="AK77" i="22"/>
  <c r="AK73" i="22"/>
  <c r="AK69" i="22"/>
  <c r="AK65" i="22"/>
  <c r="AK61" i="22"/>
  <c r="AK57" i="22"/>
  <c r="AK53" i="22"/>
  <c r="AK49" i="22"/>
  <c r="AK45" i="22"/>
  <c r="AK41" i="22"/>
  <c r="AK37" i="22"/>
  <c r="AK33" i="22"/>
  <c r="AK29" i="22"/>
  <c r="AK25" i="22"/>
  <c r="AK21" i="22"/>
  <c r="AK17" i="22"/>
  <c r="AK13" i="22"/>
  <c r="AK9" i="22"/>
  <c r="AK5" i="22"/>
  <c r="AK71" i="22"/>
  <c r="AK55" i="22"/>
  <c r="AK51" i="22"/>
  <c r="AK27" i="22"/>
  <c r="AK23" i="22"/>
  <c r="AK15" i="22"/>
  <c r="AK80" i="22"/>
  <c r="AK76" i="22"/>
  <c r="AK72" i="22"/>
  <c r="AK68" i="22"/>
  <c r="AK64" i="22"/>
  <c r="AK60" i="22"/>
  <c r="AK56" i="22"/>
  <c r="AK52" i="22"/>
  <c r="AK48" i="22"/>
  <c r="AK44" i="22"/>
  <c r="AK40" i="22"/>
  <c r="AK36" i="22"/>
  <c r="AK32" i="22"/>
  <c r="AK28" i="22"/>
  <c r="AK24" i="22"/>
  <c r="AK20" i="22"/>
  <c r="AK16" i="22"/>
  <c r="AK12" i="22"/>
  <c r="AK8" i="22"/>
  <c r="AL42" i="22" l="1"/>
  <c r="AL78" i="22"/>
  <c r="AL51" i="22"/>
  <c r="AL15" i="22"/>
  <c r="AL55" i="22"/>
  <c r="AL8" i="22"/>
  <c r="AL24" i="22"/>
  <c r="AL40" i="22"/>
  <c r="AL56" i="22"/>
  <c r="AL72" i="22"/>
  <c r="AL17" i="22"/>
  <c r="AL33" i="22"/>
  <c r="AL49" i="22"/>
  <c r="AL65" i="22"/>
  <c r="AL81" i="22"/>
  <c r="AL22" i="22"/>
  <c r="AL50" i="22"/>
  <c r="AL18" i="22"/>
  <c r="AL19" i="22"/>
  <c r="AL63" i="22"/>
  <c r="AL47" i="22"/>
  <c r="AL54" i="22"/>
  <c r="AL82" i="22"/>
  <c r="AL23" i="22"/>
  <c r="AL71" i="22"/>
  <c r="AL12" i="22"/>
  <c r="AL28" i="22"/>
  <c r="AL44" i="22"/>
  <c r="AL60" i="22"/>
  <c r="AL76" i="22"/>
  <c r="AL5" i="22"/>
  <c r="AL21" i="22"/>
  <c r="AL37" i="22"/>
  <c r="AL53" i="22"/>
  <c r="AL69" i="22"/>
  <c r="AL6" i="22"/>
  <c r="AL26" i="22"/>
  <c r="AL58" i="22"/>
  <c r="AL30" i="22"/>
  <c r="AL35" i="22"/>
  <c r="AL67" i="22"/>
  <c r="AL59" i="22"/>
  <c r="AL27" i="22"/>
  <c r="AL66" i="22"/>
  <c r="AL16" i="22"/>
  <c r="AL32" i="22"/>
  <c r="AL48" i="22"/>
  <c r="AL64" i="22"/>
  <c r="AL80" i="22"/>
  <c r="AL9" i="22"/>
  <c r="AL25" i="22"/>
  <c r="AL41" i="22"/>
  <c r="AL57" i="22"/>
  <c r="AL73" i="22"/>
  <c r="AL10" i="22"/>
  <c r="AL34" i="22"/>
  <c r="AL62" i="22"/>
  <c r="AL7" i="22"/>
  <c r="AL39" i="22"/>
  <c r="AL79" i="22"/>
  <c r="AL75" i="22"/>
  <c r="AL38" i="22"/>
  <c r="AL74" i="22"/>
  <c r="AL20" i="22"/>
  <c r="AL36" i="22"/>
  <c r="AL52" i="22"/>
  <c r="AL68" i="22"/>
  <c r="AL13" i="22"/>
  <c r="AL29" i="22"/>
  <c r="AL45" i="22"/>
  <c r="AL61" i="22"/>
  <c r="AL77" i="22"/>
  <c r="AL14" i="22"/>
  <c r="AL46" i="22"/>
  <c r="AL70" i="22"/>
  <c r="AL11" i="22"/>
  <c r="AL43" i="22"/>
  <c r="AL31" i="22"/>
  <c r="AL4" i="22"/>
  <c r="AB83" i="24" l="1"/>
  <c r="X83" i="24"/>
  <c r="K83" i="24" l="1"/>
  <c r="R83" i="24"/>
  <c r="I83" i="24"/>
  <c r="E83" i="24"/>
  <c r="M83" i="24"/>
  <c r="C83" i="24"/>
  <c r="C94" i="24" s="1"/>
  <c r="C84" i="24"/>
  <c r="H83" i="24"/>
  <c r="L83" i="24"/>
  <c r="S83" i="24"/>
  <c r="E84" i="24"/>
  <c r="G83" i="24"/>
  <c r="F83" i="24"/>
  <c r="J83" i="24"/>
  <c r="P83" i="24"/>
  <c r="H94" i="24" l="1"/>
  <c r="H95" i="24" s="1"/>
  <c r="C95" i="24"/>
  <c r="J94" i="24"/>
  <c r="J95" i="24" s="1"/>
  <c r="M94" i="24"/>
  <c r="M95" i="24" s="1"/>
  <c r="F94" i="24"/>
  <c r="F95" i="24" s="1"/>
  <c r="E94" i="24"/>
  <c r="E95" i="24" s="1"/>
  <c r="G94" i="24"/>
  <c r="G95" i="24" s="1"/>
  <c r="I94" i="24"/>
  <c r="I95" i="24" s="1"/>
  <c r="R94" i="24"/>
  <c r="R95" i="24" s="1"/>
  <c r="P94" i="24"/>
  <c r="P95" i="24" s="1"/>
  <c r="S94" i="24"/>
  <c r="S95" i="24" s="1"/>
  <c r="L94" i="24"/>
  <c r="L95" i="24" s="1"/>
  <c r="K94" i="24"/>
  <c r="K95" i="24" s="1"/>
  <c r="U83" i="24" l="1"/>
  <c r="AC64" i="24" l="1"/>
  <c r="AC65" i="24"/>
  <c r="AC55" i="24"/>
  <c r="AC39" i="24"/>
  <c r="AC66" i="24"/>
  <c r="AC33" i="24"/>
  <c r="AC71" i="24"/>
  <c r="AC49" i="24"/>
  <c r="AC37" i="24"/>
  <c r="AC74" i="24"/>
  <c r="AC57" i="24"/>
  <c r="AC27" i="24"/>
  <c r="AC4" i="24"/>
  <c r="AC80" i="24"/>
  <c r="AC11" i="24"/>
  <c r="AC28" i="24"/>
  <c r="AC42" i="24"/>
  <c r="AC76" i="24"/>
  <c r="AC26" i="24"/>
  <c r="AC15" i="24"/>
  <c r="AC69" i="24"/>
  <c r="AC5" i="24"/>
  <c r="AC78" i="24"/>
  <c r="AC51" i="24"/>
  <c r="AC32" i="24"/>
  <c r="AC6" i="24"/>
  <c r="AC81" i="24"/>
  <c r="AC45" i="24"/>
  <c r="AC18" i="24"/>
  <c r="AC10" i="24"/>
  <c r="AC72" i="24"/>
  <c r="AC62" i="24"/>
  <c r="AC17" i="24"/>
  <c r="AC24" i="24"/>
  <c r="AC73" i="24"/>
  <c r="AC19" i="24"/>
  <c r="AC21" i="24"/>
  <c r="AC25" i="24"/>
  <c r="AC70" i="24"/>
  <c r="AC36" i="24"/>
  <c r="AC53" i="24"/>
  <c r="AC56" i="24"/>
  <c r="AC7" i="24"/>
  <c r="AC22" i="24"/>
  <c r="AC54" i="24"/>
  <c r="AC14" i="24"/>
  <c r="AC43" i="24"/>
  <c r="AC31" i="24"/>
  <c r="AC82" i="24"/>
  <c r="AC35" i="24"/>
  <c r="AC46" i="24"/>
  <c r="AC9" i="24"/>
  <c r="AC67" i="24"/>
  <c r="AC23" i="24"/>
  <c r="AC34" i="24"/>
  <c r="AC48" i="24"/>
  <c r="AC79" i="24"/>
  <c r="AC58" i="24"/>
  <c r="AC8" i="24"/>
  <c r="AC59" i="24"/>
  <c r="AC50" i="24"/>
  <c r="AC47" i="24"/>
  <c r="AC61" i="24"/>
  <c r="AC75" i="24"/>
  <c r="AC60" i="24"/>
  <c r="AC12" i="24"/>
  <c r="AC41" i="24"/>
  <c r="AC52" i="24"/>
  <c r="AC77" i="24"/>
  <c r="AC68" i="24"/>
  <c r="AC13" i="24"/>
  <c r="AC30" i="24"/>
  <c r="AC29" i="24"/>
  <c r="AC44" i="24"/>
  <c r="AC63" i="24"/>
  <c r="AC20" i="24"/>
  <c r="AC38" i="24"/>
  <c r="AC40" i="24"/>
  <c r="AC16" i="24"/>
  <c r="U94" i="24"/>
  <c r="AC83" i="24" l="1"/>
  <c r="Q49" i="14"/>
  <c r="Q16" i="14"/>
  <c r="Q13" i="14"/>
  <c r="Q61" i="14"/>
  <c r="Q34" i="14"/>
  <c r="Q43" i="14"/>
  <c r="Q70" i="14"/>
  <c r="Q72" i="14"/>
  <c r="Q78" i="14"/>
  <c r="Q11" i="14"/>
  <c r="Q71" i="14"/>
  <c r="Q30" i="14"/>
  <c r="Q48" i="14"/>
  <c r="Q40" i="14"/>
  <c r="Q68" i="14"/>
  <c r="Q47" i="14"/>
  <c r="Q23" i="14"/>
  <c r="Q14" i="14"/>
  <c r="Q25" i="14"/>
  <c r="Q10" i="14"/>
  <c r="Q5" i="14"/>
  <c r="Q80" i="14"/>
  <c r="Q33" i="14"/>
  <c r="Q36" i="14"/>
  <c r="Q38" i="14"/>
  <c r="Q77" i="14"/>
  <c r="Q50" i="14"/>
  <c r="Q67" i="14"/>
  <c r="Q54" i="14"/>
  <c r="Q21" i="14"/>
  <c r="Q18" i="14"/>
  <c r="Q69" i="14"/>
  <c r="Q4" i="14"/>
  <c r="AA85" i="24"/>
  <c r="Q84" i="14" s="1"/>
  <c r="Q66" i="14"/>
  <c r="Q51" i="14"/>
  <c r="Q20" i="14"/>
  <c r="Q52" i="14"/>
  <c r="Q59" i="14"/>
  <c r="Q9" i="14"/>
  <c r="Q22" i="14"/>
  <c r="Q19" i="14"/>
  <c r="Q45" i="14"/>
  <c r="Q15" i="14"/>
  <c r="Q27" i="14"/>
  <c r="Q39" i="14"/>
  <c r="Q75" i="14"/>
  <c r="Q31" i="14"/>
  <c r="Q63" i="14"/>
  <c r="Q41" i="14"/>
  <c r="Q8" i="14"/>
  <c r="Q46" i="14"/>
  <c r="Q7" i="14"/>
  <c r="Q73" i="14"/>
  <c r="Q81" i="14"/>
  <c r="Q26" i="14"/>
  <c r="Q57" i="14"/>
  <c r="Q55" i="14"/>
  <c r="Q28" i="14"/>
  <c r="Q44" i="14"/>
  <c r="Q12" i="14"/>
  <c r="Q58" i="14"/>
  <c r="Q35" i="14"/>
  <c r="Q56" i="14"/>
  <c r="Q24" i="14"/>
  <c r="Q6" i="14"/>
  <c r="Q76" i="14"/>
  <c r="Q74" i="14"/>
  <c r="Q65" i="14"/>
  <c r="Q62" i="14"/>
  <c r="Q29" i="14"/>
  <c r="Q60" i="14"/>
  <c r="Q79" i="14"/>
  <c r="Q82" i="14"/>
  <c r="Q53" i="14"/>
  <c r="Q17" i="14"/>
  <c r="Q32" i="14"/>
  <c r="Q42" i="14"/>
  <c r="Q37" i="14"/>
  <c r="Q64" i="14"/>
  <c r="W94" i="24"/>
  <c r="W95" i="24" s="1"/>
  <c r="U95" i="24"/>
  <c r="Q83" i="14" l="1"/>
  <c r="F83" i="19"/>
  <c r="AN6" i="22" l="1"/>
  <c r="AN13" i="22"/>
  <c r="AN15" i="22"/>
  <c r="AN17" i="22"/>
  <c r="AN19" i="22"/>
  <c r="AN51" i="22"/>
  <c r="AN10" i="22"/>
  <c r="AN33" i="22"/>
  <c r="AN37" i="22"/>
  <c r="AN4" i="22"/>
  <c r="AN8" i="22"/>
  <c r="AN9" i="22"/>
  <c r="AN21" i="22"/>
  <c r="AN23" i="22"/>
  <c r="AN25" i="22"/>
  <c r="AN29" i="22"/>
  <c r="AN59" i="22"/>
  <c r="AV62" i="22"/>
  <c r="AV63" i="22"/>
  <c r="AV64" i="22"/>
  <c r="AV65" i="22"/>
  <c r="AV66" i="22"/>
  <c r="AV67" i="22"/>
  <c r="AV68" i="22"/>
  <c r="AV69" i="22"/>
  <c r="AV70" i="22"/>
  <c r="AV71" i="22"/>
  <c r="AN55" i="22"/>
  <c r="AV4" i="22"/>
  <c r="AN43" i="22"/>
  <c r="AN44" i="22"/>
  <c r="AN47" i="22"/>
  <c r="AV19" i="22"/>
  <c r="AV23" i="22"/>
  <c r="AV27" i="22"/>
  <c r="AV31" i="22"/>
  <c r="AV35" i="22"/>
  <c r="AV39" i="22"/>
  <c r="AV42" i="22"/>
  <c r="AV46" i="22"/>
  <c r="AN48" i="22"/>
  <c r="AV50" i="22"/>
  <c r="AN52" i="22"/>
  <c r="AV54" i="22"/>
  <c r="AN56" i="22"/>
  <c r="AV58" i="22"/>
  <c r="AN60" i="22"/>
  <c r="AV61" i="22"/>
  <c r="AV8" i="22"/>
  <c r="AV6" i="22"/>
  <c r="AV15" i="22"/>
  <c r="AN5" i="22"/>
  <c r="AV7" i="22"/>
  <c r="AN11" i="22"/>
  <c r="AV12" i="22"/>
  <c r="AN14" i="22"/>
  <c r="AV16" i="22"/>
  <c r="AN18" i="22"/>
  <c r="AV20" i="22"/>
  <c r="AN22" i="22"/>
  <c r="AV24" i="22"/>
  <c r="AN26" i="22"/>
  <c r="AV28" i="22"/>
  <c r="AN30" i="22"/>
  <c r="AV32" i="22"/>
  <c r="AN34" i="22"/>
  <c r="AV36" i="22"/>
  <c r="AN38" i="22"/>
  <c r="AV40" i="22"/>
  <c r="AN41" i="22"/>
  <c r="AV43" i="22"/>
  <c r="AN45" i="22"/>
  <c r="AV47" i="22"/>
  <c r="AN49" i="22"/>
  <c r="AV51" i="22"/>
  <c r="AN53" i="22"/>
  <c r="AV55" i="22"/>
  <c r="AN57" i="22"/>
  <c r="AV59" i="22"/>
  <c r="AN61" i="22"/>
  <c r="AN62" i="22"/>
  <c r="AN63" i="22"/>
  <c r="AN64" i="22"/>
  <c r="AN65" i="22"/>
  <c r="AN66" i="22"/>
  <c r="AN67" i="22"/>
  <c r="AN68" i="22"/>
  <c r="AN69" i="22"/>
  <c r="AN70" i="22"/>
  <c r="AN71" i="22"/>
  <c r="AV72" i="22"/>
  <c r="AV73" i="22"/>
  <c r="AV74" i="22"/>
  <c r="AV75" i="22"/>
  <c r="AV76" i="22"/>
  <c r="AV77" i="22"/>
  <c r="AV78" i="22"/>
  <c r="AV79" i="22"/>
  <c r="AV80" i="22"/>
  <c r="AV81" i="22"/>
  <c r="AV82" i="22"/>
  <c r="AV13" i="22"/>
  <c r="AV21" i="22"/>
  <c r="AV25" i="22"/>
  <c r="AN27" i="22"/>
  <c r="AV29" i="22"/>
  <c r="AN31" i="22"/>
  <c r="AV33" i="22"/>
  <c r="AN35" i="22"/>
  <c r="AV37" i="22"/>
  <c r="AN39" i="22"/>
  <c r="AN42" i="22"/>
  <c r="AV44" i="22"/>
  <c r="AN46" i="22"/>
  <c r="AV48" i="22"/>
  <c r="AN50" i="22"/>
  <c r="AV52" i="22"/>
  <c r="AN54" i="22"/>
  <c r="AV56" i="22"/>
  <c r="AN58" i="22"/>
  <c r="AV60" i="22"/>
  <c r="AN72" i="22"/>
  <c r="AN73" i="22"/>
  <c r="AN74" i="22"/>
  <c r="AN75" i="22"/>
  <c r="AN76" i="22"/>
  <c r="AN77" i="22"/>
  <c r="AN78" i="22"/>
  <c r="AN79" i="22"/>
  <c r="AN80" i="22"/>
  <c r="AN81" i="22"/>
  <c r="AN82" i="22"/>
  <c r="AV17" i="22"/>
  <c r="AV5" i="22"/>
  <c r="AN7" i="22"/>
  <c r="AV9" i="22"/>
  <c r="AV10" i="22"/>
  <c r="AV11" i="22"/>
  <c r="AN12" i="22"/>
  <c r="AV14" i="22"/>
  <c r="AN16" i="22"/>
  <c r="AV18" i="22"/>
  <c r="AN20" i="22"/>
  <c r="AV22" i="22"/>
  <c r="AN24" i="22"/>
  <c r="AV26" i="22"/>
  <c r="AN28" i="22"/>
  <c r="AV30" i="22"/>
  <c r="AN32" i="22"/>
  <c r="AV34" i="22"/>
  <c r="AN36" i="22"/>
  <c r="AV38" i="22"/>
  <c r="AN40" i="22"/>
  <c r="AV41" i="22"/>
  <c r="AV45" i="22"/>
  <c r="AV49" i="22"/>
  <c r="AV53" i="22"/>
  <c r="AV57" i="22"/>
  <c r="AV83" i="22" l="1"/>
  <c r="H84" i="22"/>
  <c r="J84" i="22" l="1"/>
  <c r="AD82" i="22"/>
  <c r="AD58" i="22"/>
  <c r="AD38" i="22"/>
  <c r="AD18" i="22"/>
  <c r="AD66" i="22"/>
  <c r="AD44" i="22"/>
  <c r="AD22" i="22"/>
  <c r="AD79" i="22"/>
  <c r="AD29" i="22"/>
  <c r="AD9" i="22"/>
  <c r="AD64" i="22"/>
  <c r="AD28" i="22"/>
  <c r="AD6" i="22"/>
  <c r="AD71" i="22"/>
  <c r="AD61" i="22"/>
  <c r="AD53" i="22"/>
  <c r="AD45" i="22"/>
  <c r="AD37" i="22"/>
  <c r="AD23" i="22"/>
  <c r="AD11" i="22"/>
  <c r="AD78" i="22"/>
  <c r="AD48" i="22"/>
  <c r="AD36" i="22"/>
  <c r="AD4" i="22"/>
  <c r="AD60" i="22"/>
  <c r="AD34" i="22"/>
  <c r="AD20" i="22"/>
  <c r="AD73" i="22"/>
  <c r="AD25" i="22"/>
  <c r="AD76" i="22"/>
  <c r="AD54" i="22"/>
  <c r="AD16" i="22"/>
  <c r="AD81" i="22"/>
  <c r="AD67" i="22"/>
  <c r="AD59" i="22"/>
  <c r="AD51" i="22"/>
  <c r="AD43" i="22"/>
  <c r="AD35" i="22"/>
  <c r="AD21" i="22"/>
  <c r="AD7" i="22"/>
  <c r="AD40" i="22"/>
  <c r="AD50" i="22"/>
  <c r="AD10" i="22"/>
  <c r="AD15" i="22"/>
  <c r="AD42" i="22"/>
  <c r="AD75" i="22"/>
  <c r="AD55" i="22"/>
  <c r="AD39" i="22"/>
  <c r="AD13" i="22"/>
  <c r="AD70" i="22"/>
  <c r="AD46" i="22"/>
  <c r="AD30" i="22"/>
  <c r="AD80" i="22"/>
  <c r="AD56" i="22"/>
  <c r="AD32" i="22"/>
  <c r="AD14" i="22"/>
  <c r="AD69" i="22"/>
  <c r="AD19" i="22"/>
  <c r="AD74" i="22"/>
  <c r="AD52" i="22"/>
  <c r="AD12" i="22"/>
  <c r="AD77" i="22"/>
  <c r="AD65" i="22"/>
  <c r="AD57" i="22"/>
  <c r="AD49" i="22"/>
  <c r="AD41" i="22"/>
  <c r="AD31" i="22"/>
  <c r="AD17" i="22"/>
  <c r="AD5" i="22"/>
  <c r="AD62" i="22"/>
  <c r="AD24" i="22"/>
  <c r="AD72" i="22"/>
  <c r="AD26" i="22"/>
  <c r="AD33" i="22"/>
  <c r="AD68" i="22"/>
  <c r="AD8" i="22"/>
  <c r="AD63" i="22"/>
  <c r="AD47" i="22"/>
  <c r="AD27" i="22"/>
  <c r="W83" i="22"/>
  <c r="V83" i="22"/>
  <c r="X83" i="22"/>
  <c r="J83" i="22"/>
  <c r="H83" i="22"/>
  <c r="BC83" i="22"/>
  <c r="BB83" i="22"/>
  <c r="I84" i="22"/>
  <c r="AY83" i="22" l="1"/>
  <c r="I25" i="20" l="1"/>
  <c r="I8" i="20"/>
  <c r="I10" i="20"/>
  <c r="I57" i="20"/>
  <c r="I5" i="20"/>
  <c r="M5" i="14" l="1"/>
  <c r="I9" i="20"/>
  <c r="M9" i="14"/>
  <c r="I14" i="20"/>
  <c r="M68" i="14"/>
  <c r="M48" i="14"/>
  <c r="I39" i="20"/>
  <c r="M39" i="14"/>
  <c r="I22" i="20"/>
  <c r="M22" i="14"/>
  <c r="I23" i="20"/>
  <c r="I19" i="20"/>
  <c r="M78" i="14"/>
  <c r="M66" i="14"/>
  <c r="I66" i="20"/>
  <c r="I6" i="20"/>
  <c r="M6" i="14"/>
  <c r="I15" i="20"/>
  <c r="M15" i="14"/>
  <c r="I50" i="20"/>
  <c r="M50" i="14"/>
  <c r="I7" i="20"/>
  <c r="M7" i="14"/>
  <c r="I67" i="20"/>
  <c r="M67" i="14"/>
  <c r="I61" i="20"/>
  <c r="M61" i="14"/>
  <c r="M25" i="14"/>
  <c r="I44" i="20"/>
  <c r="M11" i="14"/>
  <c r="I11" i="20"/>
  <c r="I77" i="20"/>
  <c r="M77" i="14"/>
  <c r="M57" i="14"/>
  <c r="M8" i="14"/>
  <c r="M4" i="14"/>
  <c r="M10" i="14"/>
  <c r="I37" i="20"/>
  <c r="M37" i="14"/>
  <c r="I16" i="20"/>
  <c r="M16" i="14"/>
  <c r="I48" i="20" l="1"/>
  <c r="I68" i="20"/>
  <c r="M19" i="14"/>
  <c r="I78" i="20"/>
  <c r="M14" i="14"/>
  <c r="I4" i="20"/>
  <c r="M79" i="14"/>
  <c r="I79" i="20"/>
  <c r="M23" i="14"/>
  <c r="M44" i="14"/>
  <c r="I72" i="20"/>
  <c r="M72" i="14"/>
  <c r="I80" i="20"/>
  <c r="M80" i="14"/>
  <c r="I76" i="20"/>
  <c r="M76" i="14"/>
  <c r="I46" i="20"/>
  <c r="M46" i="14"/>
  <c r="I36" i="20"/>
  <c r="M36" i="14"/>
  <c r="I73" i="20"/>
  <c r="M73" i="14"/>
  <c r="I81" i="20"/>
  <c r="M81" i="14"/>
  <c r="I69" i="20"/>
  <c r="M69" i="14"/>
  <c r="I53" i="20"/>
  <c r="M53" i="14"/>
  <c r="M71" i="14"/>
  <c r="I71" i="20"/>
  <c r="I42" i="20"/>
  <c r="M42" i="14"/>
  <c r="M59" i="14"/>
  <c r="I59" i="20"/>
  <c r="I13" i="20"/>
  <c r="M13" i="14"/>
  <c r="M74" i="14"/>
  <c r="I74" i="20"/>
  <c r="M82" i="14"/>
  <c r="I82" i="20"/>
  <c r="I34" i="20"/>
  <c r="M34" i="14"/>
  <c r="I60" i="20"/>
  <c r="M60" i="14"/>
  <c r="I33" i="20"/>
  <c r="M33" i="14"/>
  <c r="I47" i="20"/>
  <c r="M47" i="14"/>
  <c r="M54" i="14"/>
  <c r="I54" i="20"/>
  <c r="I20" i="20"/>
  <c r="M20" i="14"/>
  <c r="I17" i="20"/>
  <c r="M17" i="14"/>
  <c r="I21" i="20"/>
  <c r="M21" i="14"/>
  <c r="I31" i="20"/>
  <c r="M31" i="14"/>
  <c r="M75" i="14"/>
  <c r="I75" i="20"/>
  <c r="I49" i="20"/>
  <c r="M49" i="14"/>
  <c r="I38" i="20"/>
  <c r="M38" i="14"/>
  <c r="I64" i="20"/>
  <c r="M64" i="14"/>
  <c r="I28" i="20"/>
  <c r="M28" i="14"/>
  <c r="M58" i="14"/>
  <c r="I58" i="20"/>
  <c r="M63" i="14"/>
  <c r="I63" i="20"/>
  <c r="I18" i="20"/>
  <c r="M18" i="14"/>
  <c r="I51" i="20"/>
  <c r="M51" i="14"/>
  <c r="I45" i="20"/>
  <c r="M45" i="14"/>
  <c r="I30" i="20"/>
  <c r="M30" i="14"/>
  <c r="I32" i="20"/>
  <c r="M32" i="14"/>
  <c r="I65" i="20"/>
  <c r="M65" i="14"/>
  <c r="I12" i="20"/>
  <c r="M12" i="14"/>
  <c r="I56" i="20"/>
  <c r="M56" i="14"/>
  <c r="I26" i="20"/>
  <c r="M26" i="14"/>
  <c r="I41" i="20"/>
  <c r="M41" i="14"/>
  <c r="M62" i="14"/>
  <c r="I62" i="20"/>
  <c r="I55" i="20"/>
  <c r="M55" i="14"/>
  <c r="I43" i="20"/>
  <c r="M43" i="14"/>
  <c r="I29" i="20"/>
  <c r="M29" i="14"/>
  <c r="I35" i="20"/>
  <c r="M35" i="14"/>
  <c r="I52" i="20"/>
  <c r="M52" i="14"/>
  <c r="I27" i="20"/>
  <c r="M27" i="14"/>
  <c r="M70" i="14"/>
  <c r="I70" i="20"/>
  <c r="I24" i="20"/>
  <c r="M24" i="14"/>
  <c r="I40" i="20"/>
  <c r="M40" i="14"/>
  <c r="E83" i="20"/>
  <c r="H83" i="20"/>
  <c r="G83" i="20"/>
  <c r="M83" i="14" l="1"/>
  <c r="G85" i="20"/>
  <c r="M84" i="14" s="1"/>
  <c r="F83" i="20"/>
  <c r="I83" i="20" l="1"/>
  <c r="Q84" i="19"/>
  <c r="O84" i="19" s="1"/>
  <c r="T3" i="19"/>
  <c r="T84" i="19" s="1"/>
  <c r="N84" i="19" l="1"/>
  <c r="C83" i="19"/>
  <c r="S84" i="19"/>
  <c r="R84" i="19"/>
  <c r="P84" i="19"/>
  <c r="E83" i="19"/>
  <c r="L83" i="19"/>
  <c r="V83" i="19"/>
  <c r="M83" i="19"/>
  <c r="K83" i="19"/>
  <c r="E84" i="18" l="1"/>
  <c r="Q85" i="14" l="1"/>
  <c r="Q87" i="14" s="1"/>
  <c r="M85" i="14"/>
  <c r="M87" i="14" s="1"/>
  <c r="O29" i="14"/>
  <c r="G82" i="18"/>
  <c r="G80" i="18"/>
  <c r="G52" i="18"/>
  <c r="O44" i="14"/>
  <c r="O36" i="14"/>
  <c r="O28" i="14"/>
  <c r="O20" i="14"/>
  <c r="O12" i="14"/>
  <c r="O77" i="14"/>
  <c r="O13" i="14"/>
  <c r="O61" i="14"/>
  <c r="O45" i="14"/>
  <c r="O69" i="14"/>
  <c r="O53" i="14"/>
  <c r="O37" i="14"/>
  <c r="O21" i="14"/>
  <c r="O5" i="14"/>
  <c r="O81" i="14"/>
  <c r="F83" i="18"/>
  <c r="O65" i="14"/>
  <c r="O49" i="14"/>
  <c r="O33" i="14"/>
  <c r="O17" i="14"/>
  <c r="O73" i="14"/>
  <c r="O57" i="14"/>
  <c r="O41" i="14"/>
  <c r="O25" i="14"/>
  <c r="O9" i="14"/>
  <c r="O79" i="14"/>
  <c r="O75" i="14"/>
  <c r="O71" i="14"/>
  <c r="O67" i="14"/>
  <c r="O63" i="14"/>
  <c r="O59" i="14"/>
  <c r="O55" i="14"/>
  <c r="O51" i="14"/>
  <c r="O47" i="14"/>
  <c r="O43" i="14"/>
  <c r="O39" i="14"/>
  <c r="O35" i="14"/>
  <c r="O31" i="14"/>
  <c r="O27" i="14"/>
  <c r="O23" i="14"/>
  <c r="O19" i="14"/>
  <c r="O15" i="14"/>
  <c r="O11" i="14"/>
  <c r="O7" i="14"/>
  <c r="D83" i="18"/>
  <c r="G36" i="18" l="1"/>
  <c r="O82" i="14"/>
  <c r="G33" i="18"/>
  <c r="G29" i="18"/>
  <c r="G21" i="18"/>
  <c r="G44" i="18"/>
  <c r="G12" i="18"/>
  <c r="O52" i="14"/>
  <c r="G61" i="18"/>
  <c r="G28" i="18"/>
  <c r="O80" i="14"/>
  <c r="G17" i="18"/>
  <c r="G25" i="18"/>
  <c r="G13" i="18"/>
  <c r="G57" i="18"/>
  <c r="G45" i="18"/>
  <c r="G69" i="18"/>
  <c r="G20" i="18"/>
  <c r="G41" i="18"/>
  <c r="G47" i="18"/>
  <c r="G65" i="18"/>
  <c r="G5" i="18"/>
  <c r="G77" i="18"/>
  <c r="G7" i="18"/>
  <c r="G49" i="18"/>
  <c r="C83" i="18"/>
  <c r="G11" i="18"/>
  <c r="G53" i="18"/>
  <c r="G31" i="18"/>
  <c r="G75" i="18"/>
  <c r="G15" i="18"/>
  <c r="G79" i="18"/>
  <c r="G63" i="18"/>
  <c r="G59" i="18"/>
  <c r="G27" i="18"/>
  <c r="G9" i="18"/>
  <c r="G73" i="18"/>
  <c r="G37" i="18"/>
  <c r="G43" i="18"/>
  <c r="G81" i="18"/>
  <c r="G55" i="18"/>
  <c r="G71" i="18"/>
  <c r="G39" i="18"/>
  <c r="G8" i="18"/>
  <c r="O8" i="14"/>
  <c r="G40" i="18"/>
  <c r="O40" i="14"/>
  <c r="G64" i="18"/>
  <c r="O64" i="14"/>
  <c r="G18" i="18"/>
  <c r="O18" i="14"/>
  <c r="G34" i="18"/>
  <c r="O34" i="14"/>
  <c r="G50" i="18"/>
  <c r="O50" i="14"/>
  <c r="G66" i="18"/>
  <c r="O66" i="14"/>
  <c r="G19" i="18"/>
  <c r="G51" i="18"/>
  <c r="G23" i="18"/>
  <c r="G16" i="18"/>
  <c r="O16" i="14"/>
  <c r="G48" i="18"/>
  <c r="O48" i="14"/>
  <c r="G68" i="18"/>
  <c r="O68" i="14"/>
  <c r="G6" i="18"/>
  <c r="O6" i="14"/>
  <c r="G22" i="18"/>
  <c r="O22" i="14"/>
  <c r="G38" i="18"/>
  <c r="O38" i="14"/>
  <c r="G54" i="18"/>
  <c r="O54" i="14"/>
  <c r="G70" i="18"/>
  <c r="O70" i="14"/>
  <c r="G24" i="18"/>
  <c r="O24" i="14"/>
  <c r="G56" i="18"/>
  <c r="O56" i="14"/>
  <c r="G72" i="18"/>
  <c r="O72" i="14"/>
  <c r="G10" i="18"/>
  <c r="O10" i="14"/>
  <c r="G26" i="18"/>
  <c r="O26" i="14"/>
  <c r="G42" i="18"/>
  <c r="O42" i="14"/>
  <c r="G58" i="18"/>
  <c r="O58" i="14"/>
  <c r="G74" i="18"/>
  <c r="O74" i="14"/>
  <c r="G35" i="18"/>
  <c r="G67" i="18"/>
  <c r="G4" i="18"/>
  <c r="O4" i="14"/>
  <c r="G32" i="18"/>
  <c r="O32" i="14"/>
  <c r="G60" i="18"/>
  <c r="O60" i="14"/>
  <c r="G76" i="18"/>
  <c r="O76" i="14"/>
  <c r="G14" i="18"/>
  <c r="O14" i="14"/>
  <c r="G30" i="18"/>
  <c r="O30" i="14"/>
  <c r="G46" i="18"/>
  <c r="O46" i="14"/>
  <c r="G62" i="18"/>
  <c r="O62" i="14"/>
  <c r="G78" i="18"/>
  <c r="O78" i="14"/>
  <c r="O83" i="14" l="1"/>
  <c r="G83" i="18"/>
  <c r="E83" i="18"/>
  <c r="E85" i="18" s="1"/>
  <c r="O84" i="14" s="1"/>
  <c r="O85" i="14" l="1"/>
  <c r="O87" i="14" s="1"/>
  <c r="R83" i="14" l="1"/>
  <c r="C83" i="10" l="1"/>
  <c r="D84" i="10" s="1"/>
  <c r="Q83" i="10" l="1"/>
  <c r="R27" i="10" l="1"/>
  <c r="P27" i="10" s="1"/>
  <c r="R15" i="10"/>
  <c r="P15" i="10" s="1"/>
  <c r="R78" i="10"/>
  <c r="P78" i="10" s="1"/>
  <c r="R53" i="10"/>
  <c r="P53" i="10" s="1"/>
  <c r="R65" i="10"/>
  <c r="P65" i="10" s="1"/>
  <c r="R63" i="10"/>
  <c r="P63" i="10" s="1"/>
  <c r="R7" i="10"/>
  <c r="P7" i="10" s="1"/>
  <c r="R51" i="10"/>
  <c r="P51" i="10" s="1"/>
  <c r="R40" i="10"/>
  <c r="P40" i="10" s="1"/>
  <c r="R11" i="10"/>
  <c r="P11" i="10" s="1"/>
  <c r="R21" i="10"/>
  <c r="P21" i="10" s="1"/>
  <c r="R76" i="10"/>
  <c r="P76" i="10" s="1"/>
  <c r="R24" i="10"/>
  <c r="P24" i="10" s="1"/>
  <c r="R70" i="10"/>
  <c r="P70" i="10" s="1"/>
  <c r="R12" i="10"/>
  <c r="P12" i="10" s="1"/>
  <c r="R52" i="10"/>
  <c r="P52" i="10" s="1"/>
  <c r="R82" i="10"/>
  <c r="P82" i="10" s="1"/>
  <c r="R74" i="10"/>
  <c r="P74" i="10" s="1"/>
  <c r="R44" i="10"/>
  <c r="P44" i="10" s="1"/>
  <c r="R56" i="10"/>
  <c r="P56" i="10" s="1"/>
  <c r="R35" i="10"/>
  <c r="P35" i="10" s="1"/>
  <c r="R19" i="10"/>
  <c r="P19" i="10" s="1"/>
  <c r="R28" i="10"/>
  <c r="P28" i="10" s="1"/>
  <c r="R17" i="10"/>
  <c r="P17" i="10" s="1"/>
  <c r="R26" i="10"/>
  <c r="P26" i="10" s="1"/>
  <c r="R66" i="10"/>
  <c r="P66" i="10" s="1"/>
  <c r="R20" i="10"/>
  <c r="P20" i="10" s="1"/>
  <c r="R25" i="10"/>
  <c r="P25" i="10" s="1"/>
  <c r="R37" i="10"/>
  <c r="P37" i="10" s="1"/>
  <c r="R9" i="10"/>
  <c r="P9" i="10" s="1"/>
  <c r="R41" i="10"/>
  <c r="P41" i="10" s="1"/>
  <c r="H83" i="10"/>
  <c r="R57" i="10" l="1"/>
  <c r="P57" i="10" s="1"/>
  <c r="R31" i="10"/>
  <c r="P31" i="10" s="1"/>
  <c r="R43" i="10"/>
  <c r="P43" i="10" s="1"/>
  <c r="R39" i="10"/>
  <c r="P39" i="10" s="1"/>
  <c r="R58" i="10"/>
  <c r="P58" i="10" s="1"/>
  <c r="R61" i="10"/>
  <c r="P61" i="10" s="1"/>
  <c r="R46" i="10"/>
  <c r="P46" i="10" s="1"/>
  <c r="R64" i="10"/>
  <c r="P64" i="10" s="1"/>
  <c r="R30" i="10"/>
  <c r="P30" i="10" s="1"/>
  <c r="R13" i="10"/>
  <c r="P13" i="10" s="1"/>
  <c r="R81" i="10"/>
  <c r="P81" i="10" s="1"/>
  <c r="R72" i="10"/>
  <c r="P72" i="10" s="1"/>
  <c r="R16" i="10"/>
  <c r="P16" i="10" s="1"/>
  <c r="R10" i="10"/>
  <c r="P10" i="10" s="1"/>
  <c r="R8" i="10"/>
  <c r="P8" i="10" s="1"/>
  <c r="R38" i="10"/>
  <c r="P38" i="10" s="1"/>
  <c r="R32" i="10"/>
  <c r="P32" i="10" s="1"/>
  <c r="R42" i="10"/>
  <c r="P42" i="10" s="1"/>
  <c r="R45" i="10"/>
  <c r="P45" i="10" s="1"/>
  <c r="R59" i="10"/>
  <c r="P59" i="10" s="1"/>
  <c r="R33" i="10"/>
  <c r="P33" i="10" s="1"/>
  <c r="R48" i="10"/>
  <c r="P48" i="10" s="1"/>
  <c r="R23" i="10"/>
  <c r="P23" i="10" s="1"/>
  <c r="R29" i="10"/>
  <c r="P29" i="10" s="1"/>
  <c r="R47" i="10"/>
  <c r="P47" i="10" s="1"/>
  <c r="R55" i="10"/>
  <c r="P55" i="10" s="1"/>
  <c r="R14" i="10"/>
  <c r="P14" i="10" s="1"/>
  <c r="R73" i="10"/>
  <c r="P73" i="10" s="1"/>
  <c r="R69" i="10"/>
  <c r="P69" i="10" s="1"/>
  <c r="R34" i="10"/>
  <c r="P34" i="10" s="1"/>
  <c r="R79" i="10"/>
  <c r="P79" i="10" s="1"/>
  <c r="R62" i="10"/>
  <c r="P62" i="10" s="1"/>
  <c r="R18" i="10"/>
  <c r="P18" i="10" s="1"/>
  <c r="R49" i="10"/>
  <c r="P49" i="10" s="1"/>
  <c r="M83" i="10"/>
  <c r="R4" i="10"/>
  <c r="R22" i="10"/>
  <c r="P22" i="10" s="1"/>
  <c r="R60" i="10"/>
  <c r="P60" i="10" s="1"/>
  <c r="R54" i="10"/>
  <c r="P54" i="10" s="1"/>
  <c r="R5" i="10"/>
  <c r="P5" i="10" s="1"/>
  <c r="R36" i="10"/>
  <c r="P36" i="10" s="1"/>
  <c r="R6" i="10"/>
  <c r="P6" i="10" s="1"/>
  <c r="R50" i="10"/>
  <c r="P50" i="10" s="1"/>
  <c r="R67" i="10"/>
  <c r="P67" i="10" s="1"/>
  <c r="R68" i="10"/>
  <c r="P68" i="10" s="1"/>
  <c r="R77" i="10"/>
  <c r="P77" i="10" s="1"/>
  <c r="R75" i="10"/>
  <c r="P75" i="10" s="1"/>
  <c r="R71" i="10"/>
  <c r="P71" i="10" s="1"/>
  <c r="R80" i="10"/>
  <c r="P80" i="10" s="1"/>
  <c r="P4" i="10" l="1"/>
  <c r="O83" i="10"/>
  <c r="R83" i="10"/>
  <c r="P83" i="14" l="1"/>
  <c r="P83" i="10"/>
  <c r="P85" i="10" s="1"/>
  <c r="P85" i="14" l="1"/>
  <c r="P87" i="14" s="1"/>
  <c r="G10" i="19" l="1"/>
  <c r="H10" i="19" s="1"/>
  <c r="G16" i="19"/>
  <c r="H16" i="19" s="1"/>
  <c r="G13" i="19"/>
  <c r="H13" i="19" s="1"/>
  <c r="G24" i="19"/>
  <c r="H24" i="19" s="1"/>
  <c r="G23" i="19"/>
  <c r="H23" i="19" s="1"/>
  <c r="G32" i="19"/>
  <c r="H32" i="19" s="1"/>
  <c r="G51" i="19"/>
  <c r="H51" i="19" s="1"/>
  <c r="G40" i="19"/>
  <c r="H40" i="19" s="1"/>
  <c r="G48" i="19"/>
  <c r="H48" i="19" s="1"/>
  <c r="G54" i="19"/>
  <c r="H54" i="19" s="1"/>
  <c r="G55" i="19"/>
  <c r="H55" i="19" s="1"/>
  <c r="G56" i="19"/>
  <c r="H56" i="19" s="1"/>
  <c r="G69" i="19"/>
  <c r="H69" i="19" s="1"/>
  <c r="G64" i="19"/>
  <c r="H64" i="19" s="1"/>
  <c r="G76" i="19"/>
  <c r="H76" i="19" s="1"/>
  <c r="G81" i="19"/>
  <c r="H81" i="19" s="1"/>
  <c r="G82" i="19"/>
  <c r="H82" i="19" s="1"/>
  <c r="G17" i="19"/>
  <c r="H17" i="19" s="1"/>
  <c r="G15" i="19"/>
  <c r="H15" i="19" s="1"/>
  <c r="G19" i="19"/>
  <c r="H19" i="19" s="1"/>
  <c r="G7" i="19"/>
  <c r="H7" i="19" s="1"/>
  <c r="G6" i="19"/>
  <c r="H6" i="19" s="1"/>
  <c r="G8" i="19"/>
  <c r="H8" i="19" s="1"/>
  <c r="G28" i="19"/>
  <c r="H28" i="19" s="1"/>
  <c r="G25" i="19"/>
  <c r="H25" i="19" s="1"/>
  <c r="G30" i="19"/>
  <c r="H30" i="19" s="1"/>
  <c r="G36" i="19"/>
  <c r="H36" i="19" s="1"/>
  <c r="G43" i="19"/>
  <c r="H43" i="19" s="1"/>
  <c r="G42" i="19"/>
  <c r="H42" i="19" s="1"/>
  <c r="G46" i="19"/>
  <c r="H46" i="19" s="1"/>
  <c r="G53" i="19"/>
  <c r="H53" i="19" s="1"/>
  <c r="G67" i="19"/>
  <c r="H67" i="19" s="1"/>
  <c r="G66" i="19"/>
  <c r="H66" i="19" s="1"/>
  <c r="G72" i="19"/>
  <c r="H72" i="19" s="1"/>
  <c r="G77" i="19"/>
  <c r="H77" i="19" s="1"/>
  <c r="G80" i="19"/>
  <c r="H80" i="19" s="1"/>
  <c r="G59" i="19"/>
  <c r="H59" i="19" s="1"/>
  <c r="G12" i="19"/>
  <c r="H12" i="19" s="1"/>
  <c r="G9" i="19"/>
  <c r="H9" i="19" s="1"/>
  <c r="G14" i="19"/>
  <c r="H14" i="19" s="1"/>
  <c r="G18" i="19"/>
  <c r="H18" i="19" s="1"/>
  <c r="G21" i="19"/>
  <c r="H21" i="19" s="1"/>
  <c r="G22" i="19"/>
  <c r="H22" i="19" s="1"/>
  <c r="G31" i="19"/>
  <c r="H31" i="19" s="1"/>
  <c r="G33" i="19"/>
  <c r="H33" i="19" s="1"/>
  <c r="G45" i="19"/>
  <c r="H45" i="19" s="1"/>
  <c r="G47" i="19"/>
  <c r="H47" i="19" s="1"/>
  <c r="G52" i="19"/>
  <c r="H52" i="19" s="1"/>
  <c r="G58" i="19"/>
  <c r="H58" i="19" s="1"/>
  <c r="G63" i="19"/>
  <c r="H63" i="19" s="1"/>
  <c r="G65" i="19"/>
  <c r="H65" i="19" s="1"/>
  <c r="G70" i="19"/>
  <c r="H70" i="19" s="1"/>
  <c r="G71" i="19"/>
  <c r="H71" i="19" s="1"/>
  <c r="G74" i="19"/>
  <c r="H74" i="19" s="1"/>
  <c r="G79" i="19"/>
  <c r="H79" i="19" s="1"/>
  <c r="G11" i="19"/>
  <c r="H11" i="19" s="1"/>
  <c r="G4" i="19"/>
  <c r="G5" i="19"/>
  <c r="H5" i="19" s="1"/>
  <c r="G20" i="19"/>
  <c r="H20" i="19" s="1"/>
  <c r="G26" i="19"/>
  <c r="H26" i="19" s="1"/>
  <c r="G27" i="19"/>
  <c r="H27" i="19" s="1"/>
  <c r="G29" i="19"/>
  <c r="H29" i="19" s="1"/>
  <c r="G34" i="19"/>
  <c r="H34" i="19" s="1"/>
  <c r="G35" i="19"/>
  <c r="H35" i="19" s="1"/>
  <c r="G44" i="19"/>
  <c r="H44" i="19" s="1"/>
  <c r="G41" i="19"/>
  <c r="H41" i="19" s="1"/>
  <c r="G49" i="19"/>
  <c r="H49" i="19" s="1"/>
  <c r="G50" i="19"/>
  <c r="H50" i="19" s="1"/>
  <c r="G57" i="19"/>
  <c r="H57" i="19" s="1"/>
  <c r="G61" i="19"/>
  <c r="H61" i="19" s="1"/>
  <c r="G68" i="19"/>
  <c r="H68" i="19" s="1"/>
  <c r="G73" i="19"/>
  <c r="H73" i="19" s="1"/>
  <c r="G75" i="19"/>
  <c r="H75" i="19" s="1"/>
  <c r="G78" i="19" l="1"/>
  <c r="H78" i="19" s="1"/>
  <c r="G38" i="19"/>
  <c r="H38" i="19" s="1"/>
  <c r="G37" i="19"/>
  <c r="H37" i="19" s="1"/>
  <c r="G39" i="19"/>
  <c r="H39" i="19" s="1"/>
  <c r="G60" i="19"/>
  <c r="H60" i="19" s="1"/>
  <c r="H4" i="19"/>
  <c r="D83" i="19"/>
  <c r="G62" i="19" l="1"/>
  <c r="H62" i="19" l="1"/>
  <c r="G83" i="19"/>
  <c r="H83" i="19" s="1"/>
  <c r="AF38" i="22"/>
  <c r="AF6" i="22"/>
  <c r="AF39" i="22"/>
  <c r="AF56" i="22"/>
  <c r="AF57" i="22"/>
  <c r="AF11" i="22"/>
  <c r="AF51" i="22"/>
  <c r="AF74" i="22"/>
  <c r="AF26" i="22"/>
  <c r="AF68" i="22"/>
  <c r="AF47" i="22"/>
  <c r="AF41" i="22"/>
  <c r="AF79" i="22"/>
  <c r="AF16" i="22"/>
  <c r="AF18" i="22"/>
  <c r="AF28" i="22"/>
  <c r="AF73" i="22"/>
  <c r="AF43" i="22"/>
  <c r="AF81" i="22"/>
  <c r="AE78" i="22"/>
  <c r="AE63" i="22"/>
  <c r="AE35" i="22"/>
  <c r="AE38" i="22"/>
  <c r="AE5" i="22"/>
  <c r="AE20" i="22"/>
  <c r="AE49" i="22"/>
  <c r="AE6" i="22"/>
  <c r="AE29" i="22"/>
  <c r="AE22" i="22"/>
  <c r="AE32" i="22"/>
  <c r="AE39" i="22"/>
  <c r="AE64" i="22"/>
  <c r="AE46" i="22"/>
  <c r="AE65" i="22"/>
  <c r="AE56" i="22"/>
  <c r="AE7" i="22"/>
  <c r="AE50" i="22"/>
  <c r="AE8" i="22"/>
  <c r="AE57" i="22"/>
  <c r="AE23" i="22"/>
  <c r="AE9" i="22"/>
  <c r="AE10" i="22"/>
  <c r="AE11" i="22"/>
  <c r="AE66" i="22"/>
  <c r="AE12" i="22"/>
  <c r="AE36" i="22"/>
  <c r="AE51" i="22"/>
  <c r="AE24" i="22"/>
  <c r="AE13" i="22"/>
  <c r="AE60" i="22"/>
  <c r="AE74" i="22"/>
  <c r="AE30" i="22"/>
  <c r="AE58" i="22"/>
  <c r="AE25" i="22"/>
  <c r="AE26" i="22"/>
  <c r="AE67" i="22"/>
  <c r="AE71" i="22"/>
  <c r="AE33" i="22"/>
  <c r="AE68" i="22"/>
  <c r="AE52" i="22"/>
  <c r="AE75" i="22"/>
  <c r="AE31" i="22"/>
  <c r="AE47" i="22"/>
  <c r="AE53" i="22"/>
  <c r="AE14" i="22"/>
  <c r="AE15" i="22"/>
  <c r="AE41" i="22"/>
  <c r="AE40" i="22"/>
  <c r="AE59" i="22"/>
  <c r="AE61" i="22"/>
  <c r="AE79" i="22"/>
  <c r="AE48" i="22"/>
  <c r="AE54" i="22"/>
  <c r="AE62" i="22"/>
  <c r="AE16" i="22"/>
  <c r="AE17" i="22"/>
  <c r="AE80" i="22"/>
  <c r="AE27" i="22"/>
  <c r="AE18" i="22"/>
  <c r="AE42" i="22"/>
  <c r="AE70" i="22"/>
  <c r="AE69" i="22"/>
  <c r="AE28" i="22"/>
  <c r="AE55" i="22"/>
  <c r="AE72" i="22"/>
  <c r="AE34" i="22"/>
  <c r="AE73" i="22"/>
  <c r="AE19" i="22"/>
  <c r="AE77" i="22"/>
  <c r="AE76" i="22"/>
  <c r="AE43" i="22"/>
  <c r="AE44" i="22"/>
  <c r="AE37" i="22"/>
  <c r="AE82" i="22"/>
  <c r="AE81" i="22"/>
  <c r="AE45" i="22"/>
  <c r="AE21" i="22"/>
  <c r="AM4" i="22"/>
  <c r="AM78" i="22"/>
  <c r="AM63" i="22"/>
  <c r="AM35" i="22"/>
  <c r="AM38" i="22"/>
  <c r="AM5" i="22"/>
  <c r="AM20" i="22"/>
  <c r="AM49" i="22"/>
  <c r="AM6" i="22"/>
  <c r="AM29" i="22"/>
  <c r="AM22" i="22"/>
  <c r="AM32" i="22"/>
  <c r="AM39" i="22"/>
  <c r="AM64" i="22"/>
  <c r="AM46" i="22"/>
  <c r="AM65" i="22"/>
  <c r="AM56" i="22"/>
  <c r="AM7" i="22"/>
  <c r="AM50" i="22"/>
  <c r="AM8" i="22"/>
  <c r="AM57" i="22"/>
  <c r="AM23" i="22"/>
  <c r="AM9" i="22"/>
  <c r="AM10" i="22"/>
  <c r="AM11" i="22"/>
  <c r="AM66" i="22"/>
  <c r="AM12" i="22"/>
  <c r="AM36" i="22"/>
  <c r="AM51" i="22"/>
  <c r="AM24" i="22"/>
  <c r="AM13" i="22"/>
  <c r="AM60" i="22"/>
  <c r="AM74" i="22"/>
  <c r="AM30" i="22"/>
  <c r="AM58" i="22"/>
  <c r="AM25" i="22"/>
  <c r="AM26" i="22"/>
  <c r="AM67" i="22"/>
  <c r="AM71" i="22"/>
  <c r="AM33" i="22"/>
  <c r="AM68" i="22"/>
  <c r="AM52" i="22"/>
  <c r="AM75" i="22"/>
  <c r="AM31" i="22"/>
  <c r="AM47" i="22"/>
  <c r="AM53" i="22"/>
  <c r="AM14" i="22"/>
  <c r="AM15" i="22"/>
  <c r="AM41" i="22"/>
  <c r="AM40" i="22"/>
  <c r="AM59" i="22"/>
  <c r="AM61" i="22"/>
  <c r="AM79" i="22"/>
  <c r="AM48" i="22"/>
  <c r="AM54" i="22"/>
  <c r="AM62" i="22"/>
  <c r="AM16" i="22"/>
  <c r="AM17" i="22"/>
  <c r="AM80" i="22"/>
  <c r="AM27" i="22"/>
  <c r="AM18" i="22"/>
  <c r="AM42" i="22"/>
  <c r="AM70" i="22"/>
  <c r="AM69" i="22"/>
  <c r="AM28" i="22"/>
  <c r="AM55" i="22"/>
  <c r="AM72" i="22"/>
  <c r="AM34" i="22"/>
  <c r="AM73" i="22"/>
  <c r="AM19" i="22"/>
  <c r="AM77" i="22"/>
  <c r="AM76" i="22"/>
  <c r="AM43" i="22"/>
  <c r="AM44" i="22"/>
  <c r="AM37" i="22"/>
  <c r="AM82" i="22"/>
  <c r="AM81" i="22"/>
  <c r="AM45" i="22"/>
  <c r="AM21" i="22"/>
  <c r="I39" i="19" l="1"/>
  <c r="I78" i="19"/>
  <c r="I51" i="19"/>
  <c r="I83" i="19"/>
  <c r="I73" i="19"/>
  <c r="I72" i="19"/>
  <c r="I45" i="19"/>
  <c r="I5" i="19"/>
  <c r="I32" i="19"/>
  <c r="I41" i="19"/>
  <c r="I52" i="19"/>
  <c r="I57" i="19"/>
  <c r="I67" i="19"/>
  <c r="I36" i="19"/>
  <c r="I6" i="19"/>
  <c r="I79" i="19"/>
  <c r="I4" i="19"/>
  <c r="I44" i="19"/>
  <c r="I70" i="19"/>
  <c r="I80" i="19"/>
  <c r="I15" i="19"/>
  <c r="I35" i="19"/>
  <c r="I74" i="19"/>
  <c r="I77" i="19"/>
  <c r="I49" i="19"/>
  <c r="I9" i="19"/>
  <c r="I16" i="19"/>
  <c r="I30" i="19"/>
  <c r="I61" i="19"/>
  <c r="I63" i="19"/>
  <c r="I56" i="19"/>
  <c r="I65" i="19"/>
  <c r="I48" i="19"/>
  <c r="I14" i="19"/>
  <c r="I76" i="19"/>
  <c r="I28" i="19"/>
  <c r="I46" i="19"/>
  <c r="I71" i="19"/>
  <c r="I60" i="19"/>
  <c r="I69" i="19"/>
  <c r="I75" i="19"/>
  <c r="I59" i="19"/>
  <c r="I40" i="19"/>
  <c r="I34" i="19"/>
  <c r="I20" i="19"/>
  <c r="I19" i="19"/>
  <c r="I17" i="19"/>
  <c r="I81" i="19"/>
  <c r="I27" i="19"/>
  <c r="I7" i="19"/>
  <c r="I18" i="19"/>
  <c r="I53" i="19"/>
  <c r="I54" i="19"/>
  <c r="I12" i="19"/>
  <c r="I38" i="19"/>
  <c r="I68" i="19"/>
  <c r="I25" i="19"/>
  <c r="I23" i="19"/>
  <c r="I64" i="19"/>
  <c r="I22" i="19"/>
  <c r="I42" i="19"/>
  <c r="I66" i="19"/>
  <c r="I29" i="19"/>
  <c r="I21" i="19"/>
  <c r="I55" i="19"/>
  <c r="I24" i="19"/>
  <c r="I10" i="19"/>
  <c r="I13" i="19"/>
  <c r="I43" i="19"/>
  <c r="I11" i="19"/>
  <c r="I50" i="19"/>
  <c r="I26" i="19"/>
  <c r="I58" i="19"/>
  <c r="I8" i="19"/>
  <c r="I47" i="19"/>
  <c r="I37" i="19"/>
  <c r="I31" i="19"/>
  <c r="I33" i="19"/>
  <c r="I82" i="19"/>
  <c r="I62" i="19"/>
  <c r="I81" i="14"/>
  <c r="I43" i="14"/>
  <c r="I73" i="14"/>
  <c r="I28" i="14"/>
  <c r="I18" i="14"/>
  <c r="I16" i="14"/>
  <c r="I79" i="14"/>
  <c r="I41" i="14"/>
  <c r="I47" i="14"/>
  <c r="I68" i="14"/>
  <c r="I26" i="14"/>
  <c r="I74" i="14"/>
  <c r="I51" i="14"/>
  <c r="I11" i="14"/>
  <c r="I57" i="14"/>
  <c r="I56" i="14"/>
  <c r="I39" i="14"/>
  <c r="I6" i="14"/>
  <c r="I4" i="14"/>
  <c r="I82" i="14"/>
  <c r="I34" i="14"/>
  <c r="I27" i="14"/>
  <c r="I61" i="14"/>
  <c r="I33" i="14"/>
  <c r="I25" i="14"/>
  <c r="I36" i="14"/>
  <c r="I8" i="14"/>
  <c r="I32" i="14"/>
  <c r="I49" i="14"/>
  <c r="I35" i="14"/>
  <c r="I38" i="14"/>
  <c r="I76" i="14"/>
  <c r="I69" i="14"/>
  <c r="I62" i="14"/>
  <c r="I15" i="14"/>
  <c r="I31" i="14"/>
  <c r="I60" i="14"/>
  <c r="I10" i="14"/>
  <c r="I65" i="14"/>
  <c r="I21" i="14"/>
  <c r="I37" i="14"/>
  <c r="I77" i="14"/>
  <c r="I72" i="14"/>
  <c r="I70" i="14"/>
  <c r="I80" i="14"/>
  <c r="I54" i="14"/>
  <c r="I59" i="14"/>
  <c r="I14" i="14"/>
  <c r="I75" i="14"/>
  <c r="I71" i="14"/>
  <c r="I58" i="14"/>
  <c r="I13" i="14"/>
  <c r="I12" i="14"/>
  <c r="I9" i="14"/>
  <c r="I50" i="14"/>
  <c r="I46" i="14"/>
  <c r="I22" i="14"/>
  <c r="I20" i="14"/>
  <c r="I63" i="14"/>
  <c r="I45" i="14"/>
  <c r="I44" i="14"/>
  <c r="I19" i="14"/>
  <c r="I55" i="14"/>
  <c r="I42" i="14"/>
  <c r="I17" i="14"/>
  <c r="I48" i="14"/>
  <c r="I40" i="14"/>
  <c r="I53" i="14"/>
  <c r="I52" i="14"/>
  <c r="I67" i="14"/>
  <c r="I30" i="14"/>
  <c r="I24" i="14"/>
  <c r="I66" i="14"/>
  <c r="I23" i="14"/>
  <c r="I7" i="14"/>
  <c r="I64" i="14"/>
  <c r="I29" i="14"/>
  <c r="I5" i="14"/>
  <c r="I78" i="14"/>
  <c r="AU81" i="22"/>
  <c r="AU43" i="22"/>
  <c r="AU73" i="22"/>
  <c r="AU28" i="22"/>
  <c r="AU18" i="22"/>
  <c r="AU16" i="22"/>
  <c r="AU79" i="22"/>
  <c r="AU41" i="22"/>
  <c r="AU47" i="22"/>
  <c r="AU68" i="22"/>
  <c r="AU26" i="22"/>
  <c r="AU74" i="22"/>
  <c r="AU51" i="22"/>
  <c r="AU11" i="22"/>
  <c r="AU57" i="22"/>
  <c r="AU56" i="22"/>
  <c r="AU39" i="22"/>
  <c r="AU6" i="22"/>
  <c r="AU4" i="22"/>
  <c r="AU38" i="22"/>
  <c r="K82" i="14"/>
  <c r="K76" i="14"/>
  <c r="K34" i="14"/>
  <c r="K69" i="14"/>
  <c r="K27" i="14"/>
  <c r="K62" i="14"/>
  <c r="K61" i="14"/>
  <c r="K15" i="14"/>
  <c r="K31" i="14"/>
  <c r="K33" i="14"/>
  <c r="K25" i="14"/>
  <c r="K60" i="14"/>
  <c r="K36" i="14"/>
  <c r="K10" i="14"/>
  <c r="K8" i="14"/>
  <c r="K65" i="14"/>
  <c r="K32" i="14"/>
  <c r="K49" i="14"/>
  <c r="K35" i="14"/>
  <c r="K21" i="14"/>
  <c r="K77" i="14"/>
  <c r="K70" i="14"/>
  <c r="K54" i="14"/>
  <c r="K14" i="14"/>
  <c r="K75" i="14"/>
  <c r="K13" i="14"/>
  <c r="K9" i="14"/>
  <c r="K46" i="14"/>
  <c r="K20" i="14"/>
  <c r="K81" i="14"/>
  <c r="K43" i="14"/>
  <c r="K73" i="14"/>
  <c r="K28" i="14"/>
  <c r="K18" i="14"/>
  <c r="K16" i="14"/>
  <c r="K79" i="14"/>
  <c r="K41" i="14"/>
  <c r="K47" i="14"/>
  <c r="K68" i="14"/>
  <c r="K26" i="14"/>
  <c r="K74" i="14"/>
  <c r="K51" i="14"/>
  <c r="K11" i="14"/>
  <c r="K57" i="14"/>
  <c r="K56" i="14"/>
  <c r="K39" i="14"/>
  <c r="K6" i="14"/>
  <c r="K38" i="14"/>
  <c r="K4" i="14"/>
  <c r="AU21" i="22"/>
  <c r="AU37" i="22"/>
  <c r="AU77" i="22"/>
  <c r="AU72" i="22"/>
  <c r="AU70" i="22"/>
  <c r="AU80" i="22"/>
  <c r="AU54" i="22"/>
  <c r="AU59" i="22"/>
  <c r="AU14" i="22"/>
  <c r="AU75" i="22"/>
  <c r="AU71" i="22"/>
  <c r="AU58" i="22"/>
  <c r="AU13" i="22"/>
  <c r="AU12" i="22"/>
  <c r="AU9" i="22"/>
  <c r="AU50" i="22"/>
  <c r="AU46" i="22"/>
  <c r="AU22" i="22"/>
  <c r="AU20" i="22"/>
  <c r="AU63" i="22"/>
  <c r="K37" i="14"/>
  <c r="K72" i="14"/>
  <c r="K80" i="14"/>
  <c r="K59" i="14"/>
  <c r="K71" i="14"/>
  <c r="K58" i="14"/>
  <c r="K12" i="14"/>
  <c r="K50" i="14"/>
  <c r="K22" i="14"/>
  <c r="K63" i="14"/>
  <c r="K45" i="14"/>
  <c r="K44" i="14"/>
  <c r="K19" i="14"/>
  <c r="K55" i="14"/>
  <c r="K42" i="14"/>
  <c r="K17" i="14"/>
  <c r="K48" i="14"/>
  <c r="K40" i="14"/>
  <c r="K53" i="14"/>
  <c r="K52" i="14"/>
  <c r="K67" i="14"/>
  <c r="K30" i="14"/>
  <c r="K24" i="14"/>
  <c r="K66" i="14"/>
  <c r="K23" i="14"/>
  <c r="K7" i="14"/>
  <c r="K64" i="14"/>
  <c r="K29" i="14"/>
  <c r="K5" i="14"/>
  <c r="K78" i="14"/>
  <c r="AU82" i="22"/>
  <c r="AU76" i="22"/>
  <c r="AU34" i="22"/>
  <c r="AU69" i="22"/>
  <c r="AU27" i="22"/>
  <c r="AU62" i="22"/>
  <c r="AU61" i="22"/>
  <c r="AU15" i="22"/>
  <c r="AU31" i="22"/>
  <c r="AU33" i="22"/>
  <c r="AU25" i="22"/>
  <c r="AU60" i="22"/>
  <c r="AU36" i="22"/>
  <c r="AU10" i="22"/>
  <c r="AU8" i="22"/>
  <c r="AU65" i="22"/>
  <c r="AU32" i="22"/>
  <c r="AU49" i="22"/>
  <c r="AU35" i="22"/>
  <c r="AU45" i="22"/>
  <c r="AU44" i="22"/>
  <c r="AU19" i="22"/>
  <c r="AU55" i="22"/>
  <c r="AU42" i="22"/>
  <c r="AU17" i="22"/>
  <c r="AU48" i="22"/>
  <c r="AU40" i="22"/>
  <c r="AU53" i="22"/>
  <c r="AU52" i="22"/>
  <c r="AU67" i="22"/>
  <c r="AU30" i="22"/>
  <c r="AU24" i="22"/>
  <c r="AU66" i="22"/>
  <c r="AU23" i="22"/>
  <c r="AU7" i="22"/>
  <c r="AU64" i="22"/>
  <c r="AU29" i="22"/>
  <c r="AU5" i="22"/>
  <c r="AU78" i="22"/>
  <c r="AO8" i="22"/>
  <c r="AC28" i="22"/>
  <c r="U28" i="22"/>
  <c r="AC79" i="22"/>
  <c r="U79" i="22"/>
  <c r="U74" i="22"/>
  <c r="AC74" i="22"/>
  <c r="U57" i="22"/>
  <c r="AC57" i="22"/>
  <c r="U39" i="22"/>
  <c r="AC39" i="22"/>
  <c r="U38" i="22"/>
  <c r="AC38" i="22"/>
  <c r="AO76" i="22"/>
  <c r="AO27" i="22"/>
  <c r="AP27" i="22"/>
  <c r="AO62" i="22"/>
  <c r="AO31" i="22"/>
  <c r="AO32" i="22"/>
  <c r="Q83" i="22"/>
  <c r="G83" i="22"/>
  <c r="U76" i="22"/>
  <c r="AC76" i="22"/>
  <c r="U69" i="22"/>
  <c r="AC69" i="22"/>
  <c r="U61" i="22"/>
  <c r="AC61" i="22"/>
  <c r="AC31" i="22"/>
  <c r="U31" i="22"/>
  <c r="U25" i="22"/>
  <c r="AC25" i="22"/>
  <c r="U10" i="22"/>
  <c r="AC10" i="22"/>
  <c r="U65" i="22"/>
  <c r="AC65" i="22"/>
  <c r="U49" i="22"/>
  <c r="AC49" i="22"/>
  <c r="U35" i="22"/>
  <c r="AC35" i="22"/>
  <c r="AO21" i="22"/>
  <c r="AO72" i="22"/>
  <c r="AO54" i="22"/>
  <c r="AO14" i="22"/>
  <c r="AO75" i="22"/>
  <c r="AO58" i="22"/>
  <c r="AO9" i="22"/>
  <c r="AO22" i="22"/>
  <c r="I83" i="22"/>
  <c r="K83" i="22"/>
  <c r="AE4" i="22"/>
  <c r="AE83" i="22" s="1"/>
  <c r="AF82" i="22"/>
  <c r="AF76" i="22"/>
  <c r="AF34" i="22"/>
  <c r="AF69" i="22"/>
  <c r="AF27" i="22"/>
  <c r="AF62" i="22"/>
  <c r="AF61" i="22"/>
  <c r="AF15" i="22"/>
  <c r="AF31" i="22"/>
  <c r="AF33" i="22"/>
  <c r="AF25" i="22"/>
  <c r="AF60" i="22"/>
  <c r="AF36" i="22"/>
  <c r="AF10" i="22"/>
  <c r="AF8" i="22"/>
  <c r="AF65" i="22"/>
  <c r="AF32" i="22"/>
  <c r="AF49" i="22"/>
  <c r="AF35" i="22"/>
  <c r="P83" i="22"/>
  <c r="T83" i="22"/>
  <c r="U81" i="22"/>
  <c r="AC81" i="22"/>
  <c r="U43" i="22"/>
  <c r="AC43" i="22"/>
  <c r="U16" i="22"/>
  <c r="AC16" i="22"/>
  <c r="AC47" i="22"/>
  <c r="U47" i="22"/>
  <c r="U26" i="22"/>
  <c r="AC26" i="22"/>
  <c r="U51" i="22"/>
  <c r="AC51" i="22"/>
  <c r="AO82" i="22"/>
  <c r="AO34" i="22"/>
  <c r="AO61" i="22"/>
  <c r="AO33" i="22"/>
  <c r="AO25" i="22"/>
  <c r="AO36" i="22"/>
  <c r="AO10" i="22"/>
  <c r="U82" i="22"/>
  <c r="AC82" i="22"/>
  <c r="AC34" i="22"/>
  <c r="U34" i="22"/>
  <c r="U27" i="22"/>
  <c r="AC27" i="22"/>
  <c r="U62" i="22"/>
  <c r="AC62" i="22"/>
  <c r="AC15" i="22"/>
  <c r="U15" i="22"/>
  <c r="U33" i="22"/>
  <c r="AC33" i="22"/>
  <c r="U60" i="22"/>
  <c r="AC60" i="22"/>
  <c r="U36" i="22"/>
  <c r="AC36" i="22"/>
  <c r="AC8" i="22"/>
  <c r="U8" i="22"/>
  <c r="U32" i="22"/>
  <c r="AC32" i="22"/>
  <c r="AO37" i="22"/>
  <c r="AO77" i="22"/>
  <c r="AO70" i="22"/>
  <c r="AO80" i="22"/>
  <c r="AO59" i="22"/>
  <c r="AO71" i="22"/>
  <c r="AO13" i="22"/>
  <c r="AP12" i="22"/>
  <c r="AO12" i="22"/>
  <c r="AO50" i="22"/>
  <c r="AO46" i="22"/>
  <c r="AO20" i="22"/>
  <c r="AO63" i="22"/>
  <c r="U21" i="22"/>
  <c r="AC21" i="22"/>
  <c r="AC37" i="22"/>
  <c r="U37" i="22"/>
  <c r="U77" i="22"/>
  <c r="AC77" i="22"/>
  <c r="AC72" i="22"/>
  <c r="U72" i="22"/>
  <c r="U70" i="22"/>
  <c r="AC70" i="22"/>
  <c r="U80" i="22"/>
  <c r="AC80" i="22"/>
  <c r="U54" i="22"/>
  <c r="AC54" i="22"/>
  <c r="U59" i="22"/>
  <c r="AC59" i="22"/>
  <c r="U14" i="22"/>
  <c r="AC14" i="22"/>
  <c r="U75" i="22"/>
  <c r="AC75" i="22"/>
  <c r="U71" i="22"/>
  <c r="AC71" i="22"/>
  <c r="U58" i="22"/>
  <c r="AC58" i="22"/>
  <c r="U13" i="22"/>
  <c r="AC13" i="22"/>
  <c r="U12" i="22"/>
  <c r="AC12" i="22"/>
  <c r="AC9" i="22"/>
  <c r="U9" i="22"/>
  <c r="U50" i="22"/>
  <c r="AC50" i="22"/>
  <c r="U46" i="22"/>
  <c r="AC46" i="22"/>
  <c r="U22" i="22"/>
  <c r="AC22" i="22"/>
  <c r="U20" i="22"/>
  <c r="AC20" i="22"/>
  <c r="AC63" i="22"/>
  <c r="U63" i="22"/>
  <c r="AO45" i="22"/>
  <c r="AO44" i="22"/>
  <c r="AO19" i="22"/>
  <c r="AO55" i="22"/>
  <c r="AO42" i="22"/>
  <c r="AO17" i="22"/>
  <c r="AO48" i="22"/>
  <c r="AO40" i="22"/>
  <c r="AO53" i="22"/>
  <c r="AO52" i="22"/>
  <c r="AO67" i="22"/>
  <c r="AO30" i="22"/>
  <c r="AO24" i="22"/>
  <c r="AO66" i="22"/>
  <c r="AO23" i="22"/>
  <c r="AO7" i="22"/>
  <c r="AO64" i="22"/>
  <c r="AO29" i="22"/>
  <c r="AO5" i="22"/>
  <c r="AO78" i="22"/>
  <c r="F83" i="22"/>
  <c r="AF21" i="22"/>
  <c r="AF37" i="22"/>
  <c r="AF77" i="22"/>
  <c r="AF72" i="22"/>
  <c r="AF70" i="22"/>
  <c r="AF80" i="22"/>
  <c r="AF54" i="22"/>
  <c r="AF59" i="22"/>
  <c r="AF14" i="22"/>
  <c r="AF75" i="22"/>
  <c r="AF71" i="22"/>
  <c r="AF58" i="22"/>
  <c r="AF13" i="22"/>
  <c r="AF12" i="22"/>
  <c r="AF9" i="22"/>
  <c r="AF50" i="22"/>
  <c r="AF46" i="22"/>
  <c r="AF22" i="22"/>
  <c r="AF20" i="22"/>
  <c r="AF63" i="22"/>
  <c r="O83" i="22"/>
  <c r="S83" i="22"/>
  <c r="AC73" i="22"/>
  <c r="U73" i="22"/>
  <c r="U18" i="22"/>
  <c r="AC18" i="22"/>
  <c r="U41" i="22"/>
  <c r="AC41" i="22"/>
  <c r="U68" i="22"/>
  <c r="AC68" i="22"/>
  <c r="U11" i="22"/>
  <c r="AC11" i="22"/>
  <c r="AC56" i="22"/>
  <c r="U56" i="22"/>
  <c r="U6" i="22"/>
  <c r="AC6" i="22"/>
  <c r="AC4" i="22"/>
  <c r="C83" i="22"/>
  <c r="U4" i="22"/>
  <c r="AO69" i="22"/>
  <c r="AO15" i="22"/>
  <c r="AO60" i="22"/>
  <c r="AO65" i="22"/>
  <c r="AO49" i="22"/>
  <c r="AO35" i="22"/>
  <c r="M83" i="22"/>
  <c r="AF4" i="22"/>
  <c r="U45" i="22"/>
  <c r="AC45" i="22"/>
  <c r="AC44" i="22"/>
  <c r="U44" i="22"/>
  <c r="U19" i="22"/>
  <c r="AC19" i="22"/>
  <c r="U55" i="22"/>
  <c r="AC55" i="22"/>
  <c r="U42" i="22"/>
  <c r="AC42" i="22"/>
  <c r="U17" i="22"/>
  <c r="AC17" i="22"/>
  <c r="U48" i="22"/>
  <c r="AC48" i="22"/>
  <c r="AC40" i="22"/>
  <c r="U40" i="22"/>
  <c r="AC53" i="22"/>
  <c r="U53" i="22"/>
  <c r="U52" i="22"/>
  <c r="AC52" i="22"/>
  <c r="U67" i="22"/>
  <c r="AC67" i="22"/>
  <c r="U30" i="22"/>
  <c r="AC30" i="22"/>
  <c r="AC24" i="22"/>
  <c r="U24" i="22"/>
  <c r="AC66" i="22"/>
  <c r="U66" i="22"/>
  <c r="U23" i="22"/>
  <c r="AC23" i="22"/>
  <c r="U7" i="22"/>
  <c r="AC7" i="22"/>
  <c r="U64" i="22"/>
  <c r="AC64" i="22"/>
  <c r="U29" i="22"/>
  <c r="AC29" i="22"/>
  <c r="U5" i="22"/>
  <c r="AC5" i="22"/>
  <c r="U78" i="22"/>
  <c r="AC78" i="22"/>
  <c r="AO81" i="22"/>
  <c r="AO43" i="22"/>
  <c r="AO73" i="22"/>
  <c r="AO28" i="22"/>
  <c r="AO18" i="22"/>
  <c r="AO16" i="22"/>
  <c r="AO79" i="22"/>
  <c r="AO41" i="22"/>
  <c r="AO47" i="22"/>
  <c r="AO68" i="22"/>
  <c r="AO26" i="22"/>
  <c r="AO74" i="22"/>
  <c r="AO51" i="22"/>
  <c r="AO11" i="22"/>
  <c r="AP11" i="22"/>
  <c r="AO57" i="22"/>
  <c r="AO56" i="22"/>
  <c r="AO39" i="22"/>
  <c r="AO6" i="22"/>
  <c r="AO38" i="22"/>
  <c r="AO4" i="22"/>
  <c r="AP4" i="22"/>
  <c r="D83" i="22"/>
  <c r="AF45" i="22"/>
  <c r="AF44" i="22"/>
  <c r="AF19" i="22"/>
  <c r="AF55" i="22"/>
  <c r="AF42" i="22"/>
  <c r="AF17" i="22"/>
  <c r="AF48" i="22"/>
  <c r="AF40" i="22"/>
  <c r="AF53" i="22"/>
  <c r="AF52" i="22"/>
  <c r="AF67" i="22"/>
  <c r="AF30" i="22"/>
  <c r="AF24" i="22"/>
  <c r="AF66" i="22"/>
  <c r="AF23" i="22"/>
  <c r="AF7" i="22"/>
  <c r="AF64" i="22"/>
  <c r="AF29" i="22"/>
  <c r="AF5" i="22"/>
  <c r="AF78" i="22"/>
  <c r="N83" i="22"/>
  <c r="R83" i="22"/>
  <c r="K83" i="14" l="1"/>
  <c r="I83" i="14"/>
  <c r="J5" i="14"/>
  <c r="J67" i="14"/>
  <c r="J49" i="14"/>
  <c r="J33" i="14"/>
  <c r="J63" i="14"/>
  <c r="J58" i="14"/>
  <c r="J47" i="14"/>
  <c r="J29" i="14"/>
  <c r="J66" i="14"/>
  <c r="J44" i="14"/>
  <c r="J36" i="14"/>
  <c r="J82" i="14"/>
  <c r="J9" i="14"/>
  <c r="J54" i="14"/>
  <c r="J56" i="14"/>
  <c r="J41" i="14"/>
  <c r="J48" i="14"/>
  <c r="J10" i="14"/>
  <c r="J76" i="14"/>
  <c r="J50" i="14"/>
  <c r="J72" i="14"/>
  <c r="J39" i="14"/>
  <c r="J18" i="14"/>
  <c r="J52" i="14"/>
  <c r="J32" i="14"/>
  <c r="J31" i="14"/>
  <c r="J27" i="14"/>
  <c r="J20" i="14"/>
  <c r="J71" i="14"/>
  <c r="J77" i="14"/>
  <c r="J38" i="14"/>
  <c r="J74" i="14"/>
  <c r="J28" i="14"/>
  <c r="J64" i="14"/>
  <c r="J24" i="14"/>
  <c r="J53" i="14"/>
  <c r="J42" i="14"/>
  <c r="J45" i="14"/>
  <c r="J65" i="14"/>
  <c r="J60" i="14"/>
  <c r="J15" i="14"/>
  <c r="J69" i="14"/>
  <c r="J22" i="14"/>
  <c r="J12" i="14"/>
  <c r="J75" i="14"/>
  <c r="J80" i="14"/>
  <c r="J37" i="14"/>
  <c r="J4" i="14"/>
  <c r="J57" i="14"/>
  <c r="J26" i="14"/>
  <c r="J79" i="14"/>
  <c r="J73" i="14"/>
  <c r="J23" i="14"/>
  <c r="J19" i="14"/>
  <c r="J62" i="14"/>
  <c r="J59" i="14"/>
  <c r="J51" i="14"/>
  <c r="J81" i="14"/>
  <c r="J17" i="14"/>
  <c r="J78" i="14"/>
  <c r="J7" i="14"/>
  <c r="J30" i="14"/>
  <c r="J40" i="14"/>
  <c r="J55" i="14"/>
  <c r="J35" i="14"/>
  <c r="J8" i="14"/>
  <c r="J25" i="14"/>
  <c r="J61" i="14"/>
  <c r="J34" i="14"/>
  <c r="J46" i="14"/>
  <c r="J13" i="14"/>
  <c r="J14" i="14"/>
  <c r="J70" i="14"/>
  <c r="J21" i="14"/>
  <c r="J6" i="14"/>
  <c r="J11" i="14"/>
  <c r="J68" i="14"/>
  <c r="J16" i="14"/>
  <c r="J43" i="14"/>
  <c r="AG61" i="22"/>
  <c r="AG50" i="22"/>
  <c r="AG37" i="22"/>
  <c r="AD83" i="22"/>
  <c r="C83" i="14"/>
  <c r="N82" i="19"/>
  <c r="O82" i="19"/>
  <c r="P82" i="19"/>
  <c r="N50" i="19"/>
  <c r="P50" i="19"/>
  <c r="O50" i="19"/>
  <c r="O29" i="19"/>
  <c r="P29" i="19"/>
  <c r="N29" i="19"/>
  <c r="N38" i="19"/>
  <c r="P38" i="19"/>
  <c r="O38" i="19"/>
  <c r="N17" i="19"/>
  <c r="P17" i="19"/>
  <c r="O17" i="19"/>
  <c r="O60" i="19"/>
  <c r="N60" i="19"/>
  <c r="P60" i="19"/>
  <c r="P56" i="19"/>
  <c r="N56" i="19"/>
  <c r="O56" i="19"/>
  <c r="N74" i="19"/>
  <c r="O74" i="19"/>
  <c r="P74" i="19"/>
  <c r="P45" i="19"/>
  <c r="O45" i="19"/>
  <c r="N45" i="19"/>
  <c r="N62" i="19"/>
  <c r="P62" i="19"/>
  <c r="O62" i="19"/>
  <c r="O37" i="19"/>
  <c r="P37" i="19"/>
  <c r="N37" i="19"/>
  <c r="N26" i="19"/>
  <c r="O26" i="19"/>
  <c r="P26" i="19"/>
  <c r="P13" i="19"/>
  <c r="O13" i="19"/>
  <c r="N13" i="19"/>
  <c r="P21" i="19"/>
  <c r="O21" i="19"/>
  <c r="N21" i="19"/>
  <c r="P22" i="19"/>
  <c r="N22" i="19"/>
  <c r="O22" i="19"/>
  <c r="P68" i="19"/>
  <c r="O68" i="19"/>
  <c r="N68" i="19"/>
  <c r="O53" i="19"/>
  <c r="P53" i="19"/>
  <c r="N53" i="19"/>
  <c r="P81" i="19"/>
  <c r="O81" i="19"/>
  <c r="N81" i="19"/>
  <c r="O34" i="19"/>
  <c r="N34" i="19"/>
  <c r="P34" i="19"/>
  <c r="N69" i="19"/>
  <c r="O69" i="19"/>
  <c r="P69" i="19"/>
  <c r="P28" i="19"/>
  <c r="N28" i="19"/>
  <c r="O28" i="19"/>
  <c r="N65" i="19"/>
  <c r="P65" i="19"/>
  <c r="O65" i="19"/>
  <c r="O30" i="19"/>
  <c r="N30" i="19"/>
  <c r="P30" i="19"/>
  <c r="P77" i="19"/>
  <c r="N77" i="19"/>
  <c r="O77" i="19"/>
  <c r="P80" i="19"/>
  <c r="O80" i="19"/>
  <c r="N80" i="19"/>
  <c r="P79" i="19"/>
  <c r="O79" i="19"/>
  <c r="N79" i="19"/>
  <c r="N57" i="19"/>
  <c r="O57" i="19"/>
  <c r="P57" i="19"/>
  <c r="N5" i="19"/>
  <c r="P5" i="19"/>
  <c r="O5" i="19"/>
  <c r="N47" i="19"/>
  <c r="P47" i="19"/>
  <c r="O47" i="19"/>
  <c r="P10" i="19"/>
  <c r="N10" i="19"/>
  <c r="O10" i="19"/>
  <c r="N64" i="19"/>
  <c r="O64" i="19"/>
  <c r="P64" i="19"/>
  <c r="N18" i="19"/>
  <c r="P18" i="19"/>
  <c r="O18" i="19"/>
  <c r="P40" i="19"/>
  <c r="O40" i="19"/>
  <c r="N40" i="19"/>
  <c r="N76" i="19"/>
  <c r="P76" i="19"/>
  <c r="O76" i="19"/>
  <c r="P16" i="19"/>
  <c r="N16" i="19"/>
  <c r="O16" i="19"/>
  <c r="P70" i="19"/>
  <c r="N70" i="19"/>
  <c r="O70" i="19"/>
  <c r="P6" i="19"/>
  <c r="N6" i="19"/>
  <c r="O6" i="19"/>
  <c r="O52" i="19"/>
  <c r="N52" i="19"/>
  <c r="P52" i="19"/>
  <c r="N51" i="19"/>
  <c r="P51" i="19"/>
  <c r="O51" i="19"/>
  <c r="P33" i="19"/>
  <c r="O33" i="19"/>
  <c r="N33" i="19"/>
  <c r="N8" i="19"/>
  <c r="O8" i="19"/>
  <c r="P8" i="19"/>
  <c r="P11" i="19"/>
  <c r="O11" i="19"/>
  <c r="N11" i="19"/>
  <c r="N24" i="19"/>
  <c r="O24" i="19"/>
  <c r="P24" i="19"/>
  <c r="O66" i="19"/>
  <c r="P66" i="19"/>
  <c r="N66" i="19"/>
  <c r="P23" i="19"/>
  <c r="O23" i="19"/>
  <c r="N23" i="19"/>
  <c r="P12" i="19"/>
  <c r="N12" i="19"/>
  <c r="O12" i="19"/>
  <c r="N7" i="19"/>
  <c r="O7" i="19"/>
  <c r="P7" i="19"/>
  <c r="O19" i="19"/>
  <c r="N19" i="19"/>
  <c r="P19" i="19"/>
  <c r="O59" i="19"/>
  <c r="P59" i="19"/>
  <c r="N59" i="19"/>
  <c r="P71" i="19"/>
  <c r="N71" i="19"/>
  <c r="O71" i="19"/>
  <c r="P14" i="19"/>
  <c r="N14" i="19"/>
  <c r="O14" i="19"/>
  <c r="O63" i="19"/>
  <c r="P63" i="19"/>
  <c r="N63" i="19"/>
  <c r="N9" i="19"/>
  <c r="O9" i="19"/>
  <c r="P9" i="19"/>
  <c r="P35" i="19"/>
  <c r="N35" i="19"/>
  <c r="O35" i="19"/>
  <c r="O44" i="19"/>
  <c r="N44" i="19"/>
  <c r="P44" i="19"/>
  <c r="O36" i="19"/>
  <c r="N36" i="19"/>
  <c r="P36" i="19"/>
  <c r="O41" i="19"/>
  <c r="N41" i="19"/>
  <c r="P41" i="19"/>
  <c r="N72" i="19"/>
  <c r="P72" i="19"/>
  <c r="O72" i="19"/>
  <c r="O78" i="19"/>
  <c r="N78" i="19"/>
  <c r="P78" i="19"/>
  <c r="O31" i="19"/>
  <c r="N31" i="19"/>
  <c r="P31" i="19"/>
  <c r="N58" i="19"/>
  <c r="O58" i="19"/>
  <c r="P58" i="19"/>
  <c r="P43" i="19"/>
  <c r="O43" i="19"/>
  <c r="N43" i="19"/>
  <c r="O55" i="19"/>
  <c r="N55" i="19"/>
  <c r="P55" i="19"/>
  <c r="N42" i="19"/>
  <c r="O42" i="19"/>
  <c r="P42" i="19"/>
  <c r="P25" i="19"/>
  <c r="N25" i="19"/>
  <c r="O25" i="19"/>
  <c r="O54" i="19"/>
  <c r="N54" i="19"/>
  <c r="P54" i="19"/>
  <c r="N27" i="19"/>
  <c r="O27" i="19"/>
  <c r="P27" i="19"/>
  <c r="O20" i="19"/>
  <c r="N20" i="19"/>
  <c r="P20" i="19"/>
  <c r="N75" i="19"/>
  <c r="O75" i="19"/>
  <c r="P75" i="19"/>
  <c r="O46" i="19"/>
  <c r="N46" i="19"/>
  <c r="P46" i="19"/>
  <c r="N48" i="19"/>
  <c r="O48" i="19"/>
  <c r="P48" i="19"/>
  <c r="P61" i="19"/>
  <c r="N61" i="19"/>
  <c r="O61" i="19"/>
  <c r="P49" i="19"/>
  <c r="N49" i="19"/>
  <c r="O49" i="19"/>
  <c r="P15" i="19"/>
  <c r="O15" i="19"/>
  <c r="N15" i="19"/>
  <c r="N4" i="19"/>
  <c r="P4" i="19"/>
  <c r="O4" i="19"/>
  <c r="N67" i="19"/>
  <c r="P67" i="19"/>
  <c r="O67" i="19"/>
  <c r="O32" i="19"/>
  <c r="P32" i="19"/>
  <c r="N32" i="19"/>
  <c r="P73" i="19"/>
  <c r="O73" i="19"/>
  <c r="N73" i="19"/>
  <c r="N39" i="19"/>
  <c r="P39" i="19"/>
  <c r="O39" i="19"/>
  <c r="AQ6" i="22"/>
  <c r="AQ56" i="22"/>
  <c r="AQ9" i="22"/>
  <c r="AQ75" i="22"/>
  <c r="AQ54" i="22"/>
  <c r="AQ63" i="22"/>
  <c r="AQ76" i="22"/>
  <c r="AQ38" i="22"/>
  <c r="AQ39" i="22"/>
  <c r="AQ57" i="22"/>
  <c r="AQ20" i="22"/>
  <c r="AQ50" i="22"/>
  <c r="AQ22" i="22"/>
  <c r="AQ58" i="22"/>
  <c r="AQ14" i="22"/>
  <c r="AQ72" i="22"/>
  <c r="AQ30" i="22"/>
  <c r="AQ52" i="22"/>
  <c r="AQ40" i="22"/>
  <c r="AQ17" i="22"/>
  <c r="AQ46" i="22"/>
  <c r="AQ21" i="22"/>
  <c r="AQ67" i="22"/>
  <c r="AQ53" i="22"/>
  <c r="AQ48" i="22"/>
  <c r="AQ4" i="22"/>
  <c r="AQ51" i="22"/>
  <c r="AQ26" i="22"/>
  <c r="AQ47" i="22"/>
  <c r="AQ79" i="22"/>
  <c r="AQ18" i="22"/>
  <c r="AQ73" i="22"/>
  <c r="AQ81" i="22"/>
  <c r="AQ35" i="22"/>
  <c r="AQ65" i="22"/>
  <c r="AQ15" i="22"/>
  <c r="AQ78" i="22"/>
  <c r="AQ29" i="22"/>
  <c r="AQ7" i="22"/>
  <c r="AQ66" i="22"/>
  <c r="AQ42" i="22"/>
  <c r="AQ19" i="22"/>
  <c r="AQ45" i="22"/>
  <c r="AQ12" i="22"/>
  <c r="AQ71" i="22"/>
  <c r="AQ80" i="22"/>
  <c r="AQ77" i="22"/>
  <c r="AQ10" i="22"/>
  <c r="AQ25" i="22"/>
  <c r="AQ61" i="22"/>
  <c r="AQ82" i="22"/>
  <c r="AQ31" i="22"/>
  <c r="AQ11" i="22"/>
  <c r="AQ27" i="22"/>
  <c r="AQ8" i="22"/>
  <c r="AQ74" i="22"/>
  <c r="AQ68" i="22"/>
  <c r="AQ41" i="22"/>
  <c r="AQ16" i="22"/>
  <c r="AQ28" i="22"/>
  <c r="AQ43" i="22"/>
  <c r="AQ49" i="22"/>
  <c r="AQ60" i="22"/>
  <c r="AQ69" i="22"/>
  <c r="AQ5" i="22"/>
  <c r="AQ64" i="22"/>
  <c r="AQ23" i="22"/>
  <c r="AQ24" i="22"/>
  <c r="AQ55" i="22"/>
  <c r="AQ44" i="22"/>
  <c r="AQ13" i="22"/>
  <c r="AQ59" i="22"/>
  <c r="AQ70" i="22"/>
  <c r="AQ37" i="22"/>
  <c r="AQ36" i="22"/>
  <c r="AQ33" i="22"/>
  <c r="AQ34" i="22"/>
  <c r="AQ32" i="22"/>
  <c r="AQ62" i="22"/>
  <c r="AP83" i="22"/>
  <c r="AR67" i="22"/>
  <c r="AS67" i="22"/>
  <c r="H67" i="14" s="1"/>
  <c r="AR55" i="22"/>
  <c r="AS55" i="22"/>
  <c r="H55" i="14" s="1"/>
  <c r="AS45" i="22"/>
  <c r="H45" i="14" s="1"/>
  <c r="AR45" i="22"/>
  <c r="AR64" i="22"/>
  <c r="AS64" i="22"/>
  <c r="H64" i="14" s="1"/>
  <c r="AS52" i="22"/>
  <c r="H52" i="14" s="1"/>
  <c r="AR52" i="22"/>
  <c r="AS42" i="22"/>
  <c r="H42" i="14" s="1"/>
  <c r="AR42" i="22"/>
  <c r="AR19" i="22"/>
  <c r="AS19" i="22"/>
  <c r="H19" i="14" s="1"/>
  <c r="AS73" i="22"/>
  <c r="H73" i="14" s="1"/>
  <c r="AR73" i="22"/>
  <c r="AS20" i="22"/>
  <c r="H20" i="14" s="1"/>
  <c r="AR20" i="22"/>
  <c r="AS22" i="22"/>
  <c r="H22" i="14" s="1"/>
  <c r="AR22" i="22"/>
  <c r="AR58" i="22"/>
  <c r="AS58" i="22"/>
  <c r="H58" i="14" s="1"/>
  <c r="AR71" i="22"/>
  <c r="AS71" i="22"/>
  <c r="H71" i="14" s="1"/>
  <c r="AS54" i="22"/>
  <c r="H54" i="14" s="1"/>
  <c r="AR54" i="22"/>
  <c r="AR80" i="22"/>
  <c r="AS80" i="22"/>
  <c r="H80" i="14" s="1"/>
  <c r="AR70" i="22"/>
  <c r="AS70" i="22"/>
  <c r="H70" i="14" s="1"/>
  <c r="AS21" i="22"/>
  <c r="H21" i="14" s="1"/>
  <c r="AR21" i="22"/>
  <c r="AR32" i="22"/>
  <c r="AS32" i="22"/>
  <c r="H32" i="14" s="1"/>
  <c r="AR36" i="22"/>
  <c r="AS36" i="22"/>
  <c r="H36" i="14" s="1"/>
  <c r="AS33" i="22"/>
  <c r="H33" i="14" s="1"/>
  <c r="AR33" i="22"/>
  <c r="AR31" i="22"/>
  <c r="AS31" i="22"/>
  <c r="H31" i="14" s="1"/>
  <c r="AO83" i="22"/>
  <c r="AS66" i="22"/>
  <c r="H66" i="14" s="1"/>
  <c r="AR66" i="22"/>
  <c r="AS53" i="22"/>
  <c r="H53" i="14" s="1"/>
  <c r="AR53" i="22"/>
  <c r="AR44" i="22"/>
  <c r="AS44" i="22"/>
  <c r="H44" i="14" s="1"/>
  <c r="AF83" i="22"/>
  <c r="AR56" i="22"/>
  <c r="AS56" i="22"/>
  <c r="H56" i="14" s="1"/>
  <c r="AS18" i="22"/>
  <c r="H18" i="14" s="1"/>
  <c r="AR18" i="22"/>
  <c r="AR63" i="22"/>
  <c r="AS63" i="22"/>
  <c r="H63" i="14" s="1"/>
  <c r="AS37" i="22"/>
  <c r="H37" i="14" s="1"/>
  <c r="AR37" i="22"/>
  <c r="AR15" i="22"/>
  <c r="AS15" i="22"/>
  <c r="H15" i="14" s="1"/>
  <c r="AS34" i="22"/>
  <c r="H34" i="14" s="1"/>
  <c r="AR34" i="22"/>
  <c r="AR43" i="22"/>
  <c r="AS43" i="22"/>
  <c r="H43" i="14" s="1"/>
  <c r="AR76" i="22"/>
  <c r="AS76" i="22"/>
  <c r="H76" i="14" s="1"/>
  <c r="AN83" i="22"/>
  <c r="AR38" i="22"/>
  <c r="AS38" i="22"/>
  <c r="H38" i="14" s="1"/>
  <c r="AR39" i="22"/>
  <c r="AS39" i="22"/>
  <c r="H39" i="14" s="1"/>
  <c r="AR57" i="22"/>
  <c r="AS57" i="22"/>
  <c r="H57" i="14" s="1"/>
  <c r="AS74" i="22"/>
  <c r="H74" i="14" s="1"/>
  <c r="AR74" i="22"/>
  <c r="AR24" i="22"/>
  <c r="AS24" i="22"/>
  <c r="H24" i="14" s="1"/>
  <c r="AR40" i="22"/>
  <c r="AS40" i="22"/>
  <c r="H40" i="14" s="1"/>
  <c r="AS17" i="22"/>
  <c r="H17" i="14" s="1"/>
  <c r="AR17" i="22"/>
  <c r="AC83" i="22"/>
  <c r="AR11" i="22"/>
  <c r="AS11" i="22"/>
  <c r="H11" i="14" s="1"/>
  <c r="AM83" i="22"/>
  <c r="AS50" i="22"/>
  <c r="H50" i="14" s="1"/>
  <c r="AR50" i="22"/>
  <c r="AS9" i="22"/>
  <c r="H9" i="14" s="1"/>
  <c r="AR9" i="22"/>
  <c r="AR12" i="22"/>
  <c r="AS12" i="22"/>
  <c r="H12" i="14" s="1"/>
  <c r="AS13" i="22"/>
  <c r="H13" i="14" s="1"/>
  <c r="AR13" i="22"/>
  <c r="AR72" i="22"/>
  <c r="AS72" i="22"/>
  <c r="H72" i="14" s="1"/>
  <c r="AR8" i="22"/>
  <c r="AS8" i="22"/>
  <c r="H8" i="14" s="1"/>
  <c r="AR60" i="22"/>
  <c r="AS60" i="22"/>
  <c r="H60" i="14" s="1"/>
  <c r="AS82" i="22"/>
  <c r="H82" i="14" s="1"/>
  <c r="AR82" i="22"/>
  <c r="AR51" i="22"/>
  <c r="AS51" i="22"/>
  <c r="H51" i="14" s="1"/>
  <c r="AR26" i="22"/>
  <c r="AS26" i="22"/>
  <c r="H26" i="14" s="1"/>
  <c r="AR16" i="22"/>
  <c r="AS16" i="22"/>
  <c r="H16" i="14" s="1"/>
  <c r="AS81" i="22"/>
  <c r="H81" i="14" s="1"/>
  <c r="AR81" i="22"/>
  <c r="AS49" i="22"/>
  <c r="H49" i="14" s="1"/>
  <c r="AR49" i="22"/>
  <c r="AS61" i="22"/>
  <c r="H61" i="14" s="1"/>
  <c r="AR61" i="22"/>
  <c r="AR79" i="22"/>
  <c r="AS79" i="22"/>
  <c r="H79" i="14" s="1"/>
  <c r="AR28" i="22"/>
  <c r="AS28" i="22"/>
  <c r="H28" i="14" s="1"/>
  <c r="AR5" i="22"/>
  <c r="AS5" i="22"/>
  <c r="H5" i="14" s="1"/>
  <c r="AR7" i="22"/>
  <c r="AS7" i="22"/>
  <c r="H7" i="14" s="1"/>
  <c r="AR23" i="22"/>
  <c r="AS23" i="22"/>
  <c r="H23" i="14" s="1"/>
  <c r="AR48" i="22"/>
  <c r="AS48" i="22"/>
  <c r="H48" i="14" s="1"/>
  <c r="AL83" i="22"/>
  <c r="AS78" i="22"/>
  <c r="H78" i="14" s="1"/>
  <c r="AR78" i="22"/>
  <c r="AS29" i="22"/>
  <c r="H29" i="14" s="1"/>
  <c r="AR29" i="22"/>
  <c r="AS30" i="22"/>
  <c r="H30" i="14" s="1"/>
  <c r="AR30" i="22"/>
  <c r="U83" i="22"/>
  <c r="AS4" i="22"/>
  <c r="H4" i="14" s="1"/>
  <c r="AR4" i="22"/>
  <c r="AU83" i="22"/>
  <c r="AR6" i="22"/>
  <c r="AS6" i="22"/>
  <c r="H6" i="14" s="1"/>
  <c r="AR68" i="22"/>
  <c r="AS68" i="22"/>
  <c r="H68" i="14" s="1"/>
  <c r="AS41" i="22"/>
  <c r="H41" i="14" s="1"/>
  <c r="AR41" i="22"/>
  <c r="AS46" i="22"/>
  <c r="H46" i="14" s="1"/>
  <c r="AR46" i="22"/>
  <c r="AR75" i="22"/>
  <c r="AS75" i="22"/>
  <c r="H75" i="14" s="1"/>
  <c r="AS14" i="22"/>
  <c r="H14" i="14" s="1"/>
  <c r="AR14" i="22"/>
  <c r="AR59" i="22"/>
  <c r="AS59" i="22"/>
  <c r="H59" i="14" s="1"/>
  <c r="AS77" i="22"/>
  <c r="H77" i="14" s="1"/>
  <c r="AR77" i="22"/>
  <c r="AS62" i="22"/>
  <c r="H62" i="14" s="1"/>
  <c r="AR62" i="22"/>
  <c r="AR27" i="22"/>
  <c r="AS27" i="22"/>
  <c r="H27" i="14" s="1"/>
  <c r="AR47" i="22"/>
  <c r="AS47" i="22"/>
  <c r="H47" i="14" s="1"/>
  <c r="AR35" i="22"/>
  <c r="AS35" i="22"/>
  <c r="H35" i="14" s="1"/>
  <c r="AS65" i="22"/>
  <c r="H65" i="14" s="1"/>
  <c r="AR65" i="22"/>
  <c r="AS10" i="22"/>
  <c r="H10" i="14" s="1"/>
  <c r="AR10" i="22"/>
  <c r="AS25" i="22"/>
  <c r="H25" i="14" s="1"/>
  <c r="AR25" i="22"/>
  <c r="AR69" i="22"/>
  <c r="AS69" i="22"/>
  <c r="H69" i="14" s="1"/>
  <c r="AA74" i="22" l="1"/>
  <c r="AA82" i="22"/>
  <c r="AA81" i="22"/>
  <c r="AA70" i="22"/>
  <c r="AA69" i="22"/>
  <c r="AA72" i="22"/>
  <c r="AA77" i="22"/>
  <c r="AA76" i="22"/>
  <c r="AA73" i="22"/>
  <c r="AA80" i="22"/>
  <c r="AA79" i="22"/>
  <c r="AA71" i="22"/>
  <c r="AA78" i="22"/>
  <c r="AA75" i="22"/>
  <c r="J83" i="14"/>
  <c r="H83" i="14"/>
  <c r="AA62" i="22"/>
  <c r="AA36" i="22"/>
  <c r="AA13" i="22"/>
  <c r="AA23" i="22"/>
  <c r="AA60" i="22"/>
  <c r="AA16" i="22"/>
  <c r="AA8" i="22"/>
  <c r="AA45" i="22"/>
  <c r="AA7" i="22"/>
  <c r="AA65" i="22"/>
  <c r="AA18" i="22"/>
  <c r="AA51" i="22"/>
  <c r="AA67" i="22"/>
  <c r="AA40" i="22"/>
  <c r="AA22" i="22"/>
  <c r="AA39" i="22"/>
  <c r="AA63" i="22"/>
  <c r="AA56" i="22"/>
  <c r="AA32" i="22"/>
  <c r="AA37" i="22"/>
  <c r="AA44" i="22"/>
  <c r="AA64" i="22"/>
  <c r="AA49" i="22"/>
  <c r="AA41" i="22"/>
  <c r="AA27" i="22"/>
  <c r="AA61" i="22"/>
  <c r="AA19" i="22"/>
  <c r="AA29" i="22"/>
  <c r="AA35" i="22"/>
  <c r="AA21" i="22"/>
  <c r="AA52" i="22"/>
  <c r="AA50" i="22"/>
  <c r="AA38" i="22"/>
  <c r="AA54" i="22"/>
  <c r="AA6" i="22"/>
  <c r="AA34" i="22"/>
  <c r="AA55" i="22"/>
  <c r="AA5" i="22"/>
  <c r="AA43" i="22"/>
  <c r="AA68" i="22"/>
  <c r="AA11" i="22"/>
  <c r="AA25" i="22"/>
  <c r="AA42" i="22"/>
  <c r="AA47" i="22"/>
  <c r="AA48" i="22"/>
  <c r="AA46" i="22"/>
  <c r="AA30" i="22"/>
  <c r="AA14" i="22"/>
  <c r="AA20" i="22"/>
  <c r="AA33" i="22"/>
  <c r="AA59" i="22"/>
  <c r="AA24" i="22"/>
  <c r="AA28" i="22"/>
  <c r="AA31" i="22"/>
  <c r="AA10" i="22"/>
  <c r="AA12" i="22"/>
  <c r="AA66" i="22"/>
  <c r="AA15" i="22"/>
  <c r="AA26" i="22"/>
  <c r="AA53" i="22"/>
  <c r="AA17" i="22"/>
  <c r="AA58" i="22"/>
  <c r="AA57" i="22"/>
  <c r="AA9" i="22"/>
  <c r="AA4" i="22"/>
  <c r="G10" i="14"/>
  <c r="G14" i="14"/>
  <c r="G78" i="14"/>
  <c r="G7" i="14"/>
  <c r="G26" i="14"/>
  <c r="G8" i="14"/>
  <c r="G57" i="14"/>
  <c r="G44" i="14"/>
  <c r="G52" i="14"/>
  <c r="G45" i="14"/>
  <c r="G69" i="14"/>
  <c r="G68" i="14"/>
  <c r="G50" i="14"/>
  <c r="G15" i="14"/>
  <c r="G56" i="14"/>
  <c r="G53" i="14"/>
  <c r="G32" i="14"/>
  <c r="G70" i="14"/>
  <c r="G19" i="14"/>
  <c r="G25" i="14"/>
  <c r="G65" i="14"/>
  <c r="G62" i="14"/>
  <c r="G41" i="14"/>
  <c r="G29" i="14"/>
  <c r="G23" i="14"/>
  <c r="G5" i="14"/>
  <c r="G79" i="14"/>
  <c r="G16" i="14"/>
  <c r="G51" i="14"/>
  <c r="G60" i="14"/>
  <c r="G72" i="14"/>
  <c r="G12" i="14"/>
  <c r="G40" i="14"/>
  <c r="G39" i="14"/>
  <c r="G34" i="14"/>
  <c r="G37" i="14"/>
  <c r="G18" i="14"/>
  <c r="G21" i="14"/>
  <c r="G22" i="14"/>
  <c r="G73" i="14"/>
  <c r="G42" i="14"/>
  <c r="G77" i="14"/>
  <c r="G46" i="14"/>
  <c r="G30" i="14"/>
  <c r="G48" i="14"/>
  <c r="G28" i="14"/>
  <c r="G24" i="14"/>
  <c r="G38" i="14"/>
  <c r="G33" i="14"/>
  <c r="G54" i="14"/>
  <c r="G20" i="14"/>
  <c r="G35" i="14"/>
  <c r="G27" i="14"/>
  <c r="G4" i="14"/>
  <c r="G49" i="14"/>
  <c r="G11" i="14"/>
  <c r="G74" i="14"/>
  <c r="G43" i="14"/>
  <c r="G63" i="14"/>
  <c r="G58" i="14"/>
  <c r="G67" i="14"/>
  <c r="G47" i="14"/>
  <c r="G59" i="14"/>
  <c r="G75" i="14"/>
  <c r="G6" i="14"/>
  <c r="G61" i="14"/>
  <c r="G81" i="14"/>
  <c r="G82" i="14"/>
  <c r="G13" i="14"/>
  <c r="G9" i="14"/>
  <c r="G17" i="14"/>
  <c r="G76" i="14"/>
  <c r="G66" i="14"/>
  <c r="G31" i="14"/>
  <c r="G36" i="14"/>
  <c r="G80" i="14"/>
  <c r="G71" i="14"/>
  <c r="G64" i="14"/>
  <c r="G55" i="14"/>
  <c r="C101" i="22"/>
  <c r="C102" i="22"/>
  <c r="Q11" i="19"/>
  <c r="Q21" i="19"/>
  <c r="Q27" i="19"/>
  <c r="Q54" i="19"/>
  <c r="Q23" i="19"/>
  <c r="Q33" i="19"/>
  <c r="Q6" i="19"/>
  <c r="Q10" i="19"/>
  <c r="Q80" i="19"/>
  <c r="Q56" i="19"/>
  <c r="Q38" i="19"/>
  <c r="Q61" i="19"/>
  <c r="Q75" i="19"/>
  <c r="Q20" i="19"/>
  <c r="Q55" i="19"/>
  <c r="Q43" i="19"/>
  <c r="Q58" i="19"/>
  <c r="Q72" i="19"/>
  <c r="Q79" i="19"/>
  <c r="Q77" i="19"/>
  <c r="Q34" i="19"/>
  <c r="Q81" i="19"/>
  <c r="Q22" i="19"/>
  <c r="Q37" i="19"/>
  <c r="Q62" i="19"/>
  <c r="Q14" i="19"/>
  <c r="Q73" i="19"/>
  <c r="Q67" i="19"/>
  <c r="P83" i="19"/>
  <c r="Q25" i="19"/>
  <c r="Q41" i="19"/>
  <c r="Q12" i="19"/>
  <c r="Q24" i="19"/>
  <c r="Q51" i="19"/>
  <c r="Q52" i="19"/>
  <c r="Q18" i="19"/>
  <c r="Q65" i="19"/>
  <c r="Q69" i="19"/>
  <c r="Q68" i="19"/>
  <c r="Q39" i="19"/>
  <c r="Q4" i="19"/>
  <c r="N83" i="19"/>
  <c r="Q49" i="19"/>
  <c r="Q48" i="19"/>
  <c r="Q31" i="19"/>
  <c r="Q36" i="19"/>
  <c r="Q63" i="19"/>
  <c r="Q19" i="19"/>
  <c r="Q7" i="19"/>
  <c r="Q66" i="19"/>
  <c r="Q70" i="19"/>
  <c r="Q57" i="19"/>
  <c r="Q28" i="19"/>
  <c r="Q60" i="19"/>
  <c r="Q29" i="19"/>
  <c r="O83" i="19"/>
  <c r="Q76" i="19"/>
  <c r="Q50" i="19"/>
  <c r="Q32" i="19"/>
  <c r="Q15" i="19"/>
  <c r="Q46" i="19"/>
  <c r="Q42" i="19"/>
  <c r="Q78" i="19"/>
  <c r="Q44" i="19"/>
  <c r="Q35" i="19"/>
  <c r="Q9" i="19"/>
  <c r="Q71" i="19"/>
  <c r="Q59" i="19"/>
  <c r="Q8" i="19"/>
  <c r="Q16" i="19"/>
  <c r="Q40" i="19"/>
  <c r="Q64" i="19"/>
  <c r="Q47" i="19"/>
  <c r="Q5" i="19"/>
  <c r="Q30" i="19"/>
  <c r="Q53" i="19"/>
  <c r="Q13" i="19"/>
  <c r="Q26" i="19"/>
  <c r="Q45" i="19"/>
  <c r="Q74" i="19"/>
  <c r="Q17" i="19"/>
  <c r="Q82" i="19"/>
  <c r="K85" i="14"/>
  <c r="I85" i="14"/>
  <c r="AG83" i="22"/>
  <c r="AS83" i="22"/>
  <c r="AR83" i="22"/>
  <c r="AQ83" i="22"/>
  <c r="D70" i="14" l="1"/>
  <c r="D33" i="14"/>
  <c r="D67" i="14"/>
  <c r="D27" i="14"/>
  <c r="D60" i="14"/>
  <c r="J85" i="14"/>
  <c r="F83" i="14"/>
  <c r="G83" i="14"/>
  <c r="O85" i="19"/>
  <c r="P85" i="19"/>
  <c r="N85" i="19"/>
  <c r="AJ44" i="22"/>
  <c r="D44" i="14" s="1"/>
  <c r="AJ58" i="22"/>
  <c r="D58" i="14" s="1"/>
  <c r="AJ23" i="22"/>
  <c r="D23" i="14" s="1"/>
  <c r="AJ34" i="22"/>
  <c r="D34" i="14" s="1"/>
  <c r="AJ36" i="22"/>
  <c r="D36" i="14" s="1"/>
  <c r="AJ13" i="22"/>
  <c r="D13" i="14" s="1"/>
  <c r="AJ79" i="22"/>
  <c r="D79" i="14" s="1"/>
  <c r="AJ72" i="22"/>
  <c r="D72" i="14" s="1"/>
  <c r="AJ66" i="22"/>
  <c r="D66" i="14" s="1"/>
  <c r="AJ17" i="22"/>
  <c r="D17" i="14" s="1"/>
  <c r="AJ29" i="22"/>
  <c r="D29" i="14" s="1"/>
  <c r="AJ67" i="22"/>
  <c r="AJ7" i="22"/>
  <c r="D7" i="14" s="1"/>
  <c r="AJ68" i="22"/>
  <c r="D68" i="14" s="1"/>
  <c r="AJ27" i="22"/>
  <c r="AJ5" i="22"/>
  <c r="D5" i="14" s="1"/>
  <c r="AJ49" i="22"/>
  <c r="D49" i="14" s="1"/>
  <c r="AJ70" i="22"/>
  <c r="AJ41" i="22"/>
  <c r="D41" i="14" s="1"/>
  <c r="AJ26" i="22"/>
  <c r="D26" i="14" s="1"/>
  <c r="AJ75" i="22"/>
  <c r="D75" i="14" s="1"/>
  <c r="AJ78" i="22"/>
  <c r="D78" i="14" s="1"/>
  <c r="AJ77" i="22"/>
  <c r="D77" i="14" s="1"/>
  <c r="AJ6" i="22"/>
  <c r="D6" i="14" s="1"/>
  <c r="AJ53" i="22"/>
  <c r="D53" i="14" s="1"/>
  <c r="AJ50" i="22"/>
  <c r="D50" i="14" s="1"/>
  <c r="AJ20" i="22"/>
  <c r="D20" i="14" s="1"/>
  <c r="AJ60" i="22"/>
  <c r="AJ57" i="22"/>
  <c r="D57" i="14" s="1"/>
  <c r="AJ14" i="22"/>
  <c r="D14" i="14" s="1"/>
  <c r="AJ74" i="22"/>
  <c r="D74" i="14" s="1"/>
  <c r="AJ80" i="22"/>
  <c r="D80" i="14" s="1"/>
  <c r="AJ24" i="22"/>
  <c r="D24" i="14" s="1"/>
  <c r="AJ46" i="22"/>
  <c r="D46" i="14" s="1"/>
  <c r="AJ76" i="22"/>
  <c r="D76" i="14" s="1"/>
  <c r="AJ37" i="22"/>
  <c r="D37" i="14" s="1"/>
  <c r="AJ65" i="22"/>
  <c r="D65" i="14" s="1"/>
  <c r="AJ42" i="22"/>
  <c r="D42" i="14" s="1"/>
  <c r="AJ43" i="22"/>
  <c r="D43" i="14" s="1"/>
  <c r="AJ56" i="22"/>
  <c r="D56" i="14" s="1"/>
  <c r="AJ32" i="22"/>
  <c r="D32" i="14" s="1"/>
  <c r="AJ51" i="22"/>
  <c r="D51" i="14" s="1"/>
  <c r="AJ47" i="22"/>
  <c r="D47" i="14" s="1"/>
  <c r="AJ33" i="22"/>
  <c r="AJ8" i="22"/>
  <c r="D8" i="14" s="1"/>
  <c r="AJ73" i="22"/>
  <c r="D73" i="14" s="1"/>
  <c r="AJ28" i="22"/>
  <c r="D28" i="14" s="1"/>
  <c r="AJ40" i="22"/>
  <c r="D40" i="14" s="1"/>
  <c r="AJ81" i="22"/>
  <c r="D81" i="14" s="1"/>
  <c r="AJ11" i="22"/>
  <c r="D11" i="14" s="1"/>
  <c r="AJ18" i="22"/>
  <c r="D18" i="14" s="1"/>
  <c r="AJ10" i="22"/>
  <c r="D10" i="14" s="1"/>
  <c r="AJ22" i="22"/>
  <c r="D22" i="14" s="1"/>
  <c r="AJ71" i="22"/>
  <c r="D71" i="14" s="1"/>
  <c r="AJ25" i="22"/>
  <c r="D25" i="14" s="1"/>
  <c r="AJ19" i="22"/>
  <c r="D19" i="14" s="1"/>
  <c r="AJ21" i="22"/>
  <c r="D21" i="14" s="1"/>
  <c r="AJ39" i="22"/>
  <c r="D39" i="14" s="1"/>
  <c r="AJ12" i="22"/>
  <c r="D12" i="14" s="1"/>
  <c r="AJ55" i="22"/>
  <c r="D55" i="14" s="1"/>
  <c r="AJ16" i="22"/>
  <c r="D16" i="14" s="1"/>
  <c r="AJ35" i="22"/>
  <c r="D35" i="14" s="1"/>
  <c r="AJ48" i="22"/>
  <c r="D48" i="14" s="1"/>
  <c r="AJ30" i="22"/>
  <c r="D30" i="14" s="1"/>
  <c r="AJ31" i="22"/>
  <c r="D31" i="14" s="1"/>
  <c r="AJ82" i="22"/>
  <c r="D82" i="14" s="1"/>
  <c r="AJ64" i="22"/>
  <c r="D64" i="14" s="1"/>
  <c r="AJ15" i="22"/>
  <c r="D15" i="14" s="1"/>
  <c r="AJ52" i="22"/>
  <c r="D52" i="14" s="1"/>
  <c r="AJ38" i="22"/>
  <c r="D38" i="14" s="1"/>
  <c r="AJ9" i="22"/>
  <c r="D9" i="14" s="1"/>
  <c r="AJ69" i="22"/>
  <c r="D69" i="14" s="1"/>
  <c r="AJ59" i="22"/>
  <c r="D59" i="14" s="1"/>
  <c r="AJ61" i="22"/>
  <c r="D61" i="14" s="1"/>
  <c r="AJ45" i="22"/>
  <c r="D45" i="14" s="1"/>
  <c r="AJ63" i="22"/>
  <c r="D63" i="14" s="1"/>
  <c r="AJ62" i="22"/>
  <c r="D62" i="14" s="1"/>
  <c r="AJ54" i="22"/>
  <c r="D54" i="14" s="1"/>
  <c r="AA83" i="22"/>
  <c r="AJ4" i="22"/>
  <c r="C85" i="14"/>
  <c r="C99" i="22"/>
  <c r="C98" i="22"/>
  <c r="Q88" i="19"/>
  <c r="Q83" i="19"/>
  <c r="H85" i="14"/>
  <c r="AX62" i="22" l="1"/>
  <c r="AZ62" i="22" s="1"/>
  <c r="AX16" i="22"/>
  <c r="AX22" i="22"/>
  <c r="AZ22" i="22" s="1"/>
  <c r="AX8" i="22"/>
  <c r="AZ8" i="22" s="1"/>
  <c r="AX57" i="22"/>
  <c r="AZ57" i="22" s="1"/>
  <c r="AX75" i="22"/>
  <c r="AZ75" i="22" s="1"/>
  <c r="AX36" i="22"/>
  <c r="AZ36" i="22" s="1"/>
  <c r="AX63" i="22"/>
  <c r="AZ63" i="22" s="1"/>
  <c r="AX15" i="22"/>
  <c r="AZ15" i="22" s="1"/>
  <c r="AX55" i="22"/>
  <c r="AZ55" i="22" s="1"/>
  <c r="AX33" i="22"/>
  <c r="AZ33" i="22" s="1"/>
  <c r="AX37" i="22"/>
  <c r="AX60" i="22"/>
  <c r="AZ60" i="22" s="1"/>
  <c r="AX26" i="22"/>
  <c r="AX67" i="22"/>
  <c r="AZ67" i="22" s="1"/>
  <c r="AX34" i="22"/>
  <c r="AZ34" i="22" s="1"/>
  <c r="AX4" i="22"/>
  <c r="AX45" i="22"/>
  <c r="AZ45" i="22" s="1"/>
  <c r="AX20" i="22"/>
  <c r="AZ20" i="22" s="1"/>
  <c r="AX41" i="22"/>
  <c r="AZ41" i="22" s="1"/>
  <c r="AX29" i="22"/>
  <c r="AZ29" i="22" s="1"/>
  <c r="AX23" i="22"/>
  <c r="AX61" i="22"/>
  <c r="AZ61" i="22" s="1"/>
  <c r="AX82" i="22"/>
  <c r="AZ82" i="22" s="1"/>
  <c r="AX39" i="22"/>
  <c r="AX11" i="22"/>
  <c r="AX51" i="22"/>
  <c r="AZ51" i="22" s="1"/>
  <c r="AX46" i="22"/>
  <c r="AZ46" i="22" s="1"/>
  <c r="AX50" i="22"/>
  <c r="AZ50" i="22" s="1"/>
  <c r="AX70" i="22"/>
  <c r="AZ70" i="22" s="1"/>
  <c r="AX17" i="22"/>
  <c r="AZ17" i="22" s="1"/>
  <c r="AX58" i="22"/>
  <c r="AZ58" i="22" s="1"/>
  <c r="AX53" i="22"/>
  <c r="AZ53" i="22" s="1"/>
  <c r="AX69" i="22"/>
  <c r="AX30" i="22"/>
  <c r="AZ30" i="22" s="1"/>
  <c r="AX19" i="22"/>
  <c r="AZ19" i="22" s="1"/>
  <c r="AX40" i="22"/>
  <c r="AX56" i="22"/>
  <c r="AZ56" i="22" s="1"/>
  <c r="AX80" i="22"/>
  <c r="AZ80" i="22" s="1"/>
  <c r="AX6" i="22"/>
  <c r="AZ6" i="22" s="1"/>
  <c r="AX5" i="22"/>
  <c r="AZ5" i="22" s="1"/>
  <c r="AX72" i="22"/>
  <c r="AZ72" i="22" s="1"/>
  <c r="AX25" i="22"/>
  <c r="AZ25" i="22" s="1"/>
  <c r="AX28" i="22"/>
  <c r="AZ28" i="22" s="1"/>
  <c r="AX77" i="22"/>
  <c r="AZ77" i="22" s="1"/>
  <c r="AX27" i="22"/>
  <c r="AZ27" i="22" s="1"/>
  <c r="AX9" i="22"/>
  <c r="AZ9" i="22" s="1"/>
  <c r="AX54" i="22"/>
  <c r="AZ54" i="22" s="1"/>
  <c r="AX38" i="22"/>
  <c r="AX71" i="22"/>
  <c r="AZ71" i="22" s="1"/>
  <c r="AX42" i="22"/>
  <c r="AZ42" i="22" s="1"/>
  <c r="AX14" i="22"/>
  <c r="AZ14" i="22" s="1"/>
  <c r="AX78" i="22"/>
  <c r="AX68" i="22"/>
  <c r="AZ68" i="22" s="1"/>
  <c r="Q85" i="19"/>
  <c r="AX48" i="22"/>
  <c r="AZ48" i="22" s="1"/>
  <c r="AX43" i="22"/>
  <c r="AX74" i="22"/>
  <c r="AX79" i="22"/>
  <c r="AZ79" i="22" s="1"/>
  <c r="AX35" i="22"/>
  <c r="AX73" i="22"/>
  <c r="AX13" i="22"/>
  <c r="AX52" i="22"/>
  <c r="AX65" i="22"/>
  <c r="AX7" i="22"/>
  <c r="AX10" i="22"/>
  <c r="AZ10" i="22" s="1"/>
  <c r="AX64" i="22"/>
  <c r="AX12" i="22"/>
  <c r="AX18" i="22"/>
  <c r="AX47" i="22"/>
  <c r="AZ47" i="22" s="1"/>
  <c r="AX76" i="22"/>
  <c r="AX59" i="22"/>
  <c r="AX31" i="22"/>
  <c r="AX21" i="22"/>
  <c r="AX81" i="22"/>
  <c r="AX32" i="22"/>
  <c r="AX24" i="22"/>
  <c r="AX49" i="22"/>
  <c r="AX66" i="22"/>
  <c r="AX44" i="22"/>
  <c r="AZ69" i="22"/>
  <c r="AZ11" i="22"/>
  <c r="AZ23" i="22"/>
  <c r="AZ26" i="22"/>
  <c r="AZ38" i="22"/>
  <c r="AZ21" i="22"/>
  <c r="F85" i="14"/>
  <c r="AZ16" i="22"/>
  <c r="AJ83" i="22"/>
  <c r="C97" i="22" s="1"/>
  <c r="G85" i="14"/>
  <c r="C87" i="14"/>
  <c r="D4" i="14" l="1"/>
  <c r="AZ59" i="22"/>
  <c r="AZ52" i="22"/>
  <c r="AZ32" i="22"/>
  <c r="AZ64" i="22"/>
  <c r="AZ74" i="22"/>
  <c r="AZ44" i="22"/>
  <c r="AZ76" i="22"/>
  <c r="AZ13" i="22"/>
  <c r="AZ43" i="22"/>
  <c r="AZ81" i="22"/>
  <c r="AZ73" i="22"/>
  <c r="AZ66" i="22"/>
  <c r="AZ49" i="22"/>
  <c r="AZ7" i="22"/>
  <c r="AZ31" i="22"/>
  <c r="AZ18" i="22"/>
  <c r="AZ24" i="22"/>
  <c r="AZ12" i="22"/>
  <c r="AZ65" i="22"/>
  <c r="E83" i="14"/>
  <c r="AZ37" i="22"/>
  <c r="AZ78" i="22"/>
  <c r="AZ40" i="22"/>
  <c r="AZ35" i="22"/>
  <c r="AZ39" i="22"/>
  <c r="AZ4" i="22"/>
  <c r="AX83" i="22"/>
  <c r="AT83" i="22"/>
  <c r="D83" i="14" l="1"/>
  <c r="AZ83" i="22"/>
  <c r="E85" i="14"/>
  <c r="C100" i="22"/>
  <c r="C104" i="22" s="1"/>
  <c r="D85" i="14" l="1"/>
  <c r="D87" i="14" l="1"/>
  <c r="R85" i="14" l="1"/>
  <c r="R87" i="14" l="1"/>
  <c r="S73" i="19" l="1"/>
  <c r="S44" i="19"/>
  <c r="S37" i="19"/>
  <c r="R37" i="19"/>
  <c r="R42" i="19"/>
  <c r="S42" i="19"/>
  <c r="R40" i="19"/>
  <c r="S40" i="19"/>
  <c r="R75" i="19"/>
  <c r="S75" i="19"/>
  <c r="S25" i="19"/>
  <c r="R25" i="19"/>
  <c r="R10" i="19"/>
  <c r="S10" i="19"/>
  <c r="S7" i="19"/>
  <c r="R7" i="19"/>
  <c r="S21" i="19"/>
  <c r="R21" i="19"/>
  <c r="R44" i="19"/>
  <c r="S27" i="19"/>
  <c r="R27" i="19"/>
  <c r="R48" i="19"/>
  <c r="S48" i="19"/>
  <c r="S41" i="19"/>
  <c r="R41" i="19"/>
  <c r="R51" i="19"/>
  <c r="S51" i="19"/>
  <c r="S9" i="19"/>
  <c r="R9" i="19"/>
  <c r="R56" i="19"/>
  <c r="S56" i="19"/>
  <c r="S29" i="19"/>
  <c r="R29" i="19"/>
  <c r="S35" i="19"/>
  <c r="R35" i="19"/>
  <c r="S43" i="19"/>
  <c r="R43" i="19"/>
  <c r="S80" i="19"/>
  <c r="R80" i="19"/>
  <c r="S15" i="19"/>
  <c r="R15" i="19"/>
  <c r="S52" i="19"/>
  <c r="R52" i="19"/>
  <c r="S65" i="19"/>
  <c r="R65" i="19"/>
  <c r="R6" i="19"/>
  <c r="S6" i="19"/>
  <c r="R18" i="19"/>
  <c r="S18" i="19"/>
  <c r="S72" i="19"/>
  <c r="R72" i="19"/>
  <c r="R79" i="19"/>
  <c r="S79" i="19"/>
  <c r="R14" i="19"/>
  <c r="S14" i="19"/>
  <c r="S68" i="19"/>
  <c r="R68" i="19"/>
  <c r="S30" i="19"/>
  <c r="R30" i="19"/>
  <c r="S36" i="19"/>
  <c r="R36" i="19"/>
  <c r="R49" i="19"/>
  <c r="S49" i="19"/>
  <c r="S45" i="19"/>
  <c r="R45" i="19"/>
  <c r="S77" i="19"/>
  <c r="R77" i="19"/>
  <c r="R55" i="19"/>
  <c r="S55" i="19"/>
  <c r="S17" i="19"/>
  <c r="R17" i="19"/>
  <c r="R53" i="19"/>
  <c r="S53" i="19"/>
  <c r="R33" i="19"/>
  <c r="S33" i="19"/>
  <c r="R74" i="19"/>
  <c r="S74" i="19"/>
  <c r="S12" i="19"/>
  <c r="R12" i="19"/>
  <c r="S57" i="19"/>
  <c r="R57" i="19"/>
  <c r="S64" i="19"/>
  <c r="R64" i="19"/>
  <c r="S20" i="19"/>
  <c r="R20" i="19"/>
  <c r="R78" i="19"/>
  <c r="S78" i="19"/>
  <c r="R81" i="19"/>
  <c r="S81" i="19"/>
  <c r="R28" i="19"/>
  <c r="S28" i="19"/>
  <c r="R16" i="19"/>
  <c r="S16" i="19"/>
  <c r="R61" i="19"/>
  <c r="S61" i="19"/>
  <c r="R71" i="19"/>
  <c r="S71" i="19"/>
  <c r="S60" i="19"/>
  <c r="R60" i="19"/>
  <c r="S8" i="19"/>
  <c r="R8" i="19"/>
  <c r="S39" i="19"/>
  <c r="R39" i="19"/>
  <c r="S5" i="19"/>
  <c r="R5" i="19"/>
  <c r="S4" i="19"/>
  <c r="R4" i="19"/>
  <c r="S19" i="19"/>
  <c r="R19" i="19"/>
  <c r="S69" i="19"/>
  <c r="R69" i="19"/>
  <c r="S47" i="19"/>
  <c r="R47" i="19"/>
  <c r="S67" i="19"/>
  <c r="R67" i="19"/>
  <c r="R13" i="19"/>
  <c r="S13" i="19"/>
  <c r="R66" i="19"/>
  <c r="S66" i="19"/>
  <c r="S32" i="19"/>
  <c r="R32" i="19"/>
  <c r="R70" i="19"/>
  <c r="S70" i="19"/>
  <c r="R62" i="19"/>
  <c r="S62" i="19"/>
  <c r="R31" i="19"/>
  <c r="S31" i="19"/>
  <c r="R26" i="19"/>
  <c r="S26" i="19"/>
  <c r="R24" i="19"/>
  <c r="S24" i="19"/>
  <c r="S11" i="19"/>
  <c r="R11" i="19"/>
  <c r="S22" i="19"/>
  <c r="R22" i="19"/>
  <c r="R38" i="19"/>
  <c r="S38" i="19"/>
  <c r="T56" i="19" l="1"/>
  <c r="U56" i="19" s="1"/>
  <c r="N56" i="14" s="1"/>
  <c r="T56" i="14" s="1"/>
  <c r="T62" i="19"/>
  <c r="U62" i="19" s="1"/>
  <c r="W62" i="19" s="1"/>
  <c r="T55" i="19"/>
  <c r="U55" i="19" s="1"/>
  <c r="N55" i="14" s="1"/>
  <c r="T55" i="14" s="1"/>
  <c r="T79" i="19"/>
  <c r="U79" i="19" s="1"/>
  <c r="N79" i="14" s="1"/>
  <c r="T79" i="14" s="1"/>
  <c r="T22" i="19"/>
  <c r="U22" i="19" s="1"/>
  <c r="W22" i="19" s="1"/>
  <c r="T43" i="19"/>
  <c r="U43" i="19" s="1"/>
  <c r="W43" i="19" s="1"/>
  <c r="T60" i="19"/>
  <c r="U60" i="19" s="1"/>
  <c r="W60" i="19" s="1"/>
  <c r="T64" i="19"/>
  <c r="U64" i="19" s="1"/>
  <c r="W64" i="19" s="1"/>
  <c r="T77" i="19"/>
  <c r="U77" i="19" s="1"/>
  <c r="N77" i="14" s="1"/>
  <c r="T77" i="14" s="1"/>
  <c r="T72" i="19"/>
  <c r="U72" i="19" s="1"/>
  <c r="W72" i="19" s="1"/>
  <c r="T52" i="19"/>
  <c r="U52" i="19" s="1"/>
  <c r="N52" i="14" s="1"/>
  <c r="T52" i="14" s="1"/>
  <c r="T29" i="19"/>
  <c r="U29" i="19" s="1"/>
  <c r="N29" i="14" s="1"/>
  <c r="T29" i="14" s="1"/>
  <c r="T38" i="19"/>
  <c r="U38" i="19" s="1"/>
  <c r="W38" i="19" s="1"/>
  <c r="T26" i="19"/>
  <c r="U26" i="19" s="1"/>
  <c r="N26" i="14" s="1"/>
  <c r="T26" i="14" s="1"/>
  <c r="T47" i="19"/>
  <c r="U47" i="19" s="1"/>
  <c r="N47" i="14" s="1"/>
  <c r="T47" i="14" s="1"/>
  <c r="T15" i="19"/>
  <c r="U15" i="19" s="1"/>
  <c r="W15" i="19" s="1"/>
  <c r="T37" i="19"/>
  <c r="U37" i="19" s="1"/>
  <c r="N37" i="14" s="1"/>
  <c r="T37" i="14" s="1"/>
  <c r="T66" i="19"/>
  <c r="U66" i="19" s="1"/>
  <c r="N66" i="14" s="1"/>
  <c r="T66" i="14" s="1"/>
  <c r="T71" i="19"/>
  <c r="U71" i="19" s="1"/>
  <c r="W71" i="19" s="1"/>
  <c r="T10" i="19"/>
  <c r="U10" i="19" s="1"/>
  <c r="W10" i="19" s="1"/>
  <c r="T53" i="19"/>
  <c r="U53" i="19" s="1"/>
  <c r="W53" i="19" s="1"/>
  <c r="T16" i="19"/>
  <c r="U16" i="19" s="1"/>
  <c r="W16" i="19" s="1"/>
  <c r="T74" i="19"/>
  <c r="U74" i="19" s="1"/>
  <c r="N74" i="14" s="1"/>
  <c r="T74" i="14" s="1"/>
  <c r="T81" i="19"/>
  <c r="U81" i="19" s="1"/>
  <c r="W81" i="19" s="1"/>
  <c r="T69" i="19"/>
  <c r="U69" i="19" s="1"/>
  <c r="N69" i="14" s="1"/>
  <c r="T69" i="14" s="1"/>
  <c r="T51" i="19"/>
  <c r="U51" i="19" s="1"/>
  <c r="N51" i="14" s="1"/>
  <c r="T51" i="14" s="1"/>
  <c r="R73" i="19"/>
  <c r="T73" i="19" s="1"/>
  <c r="U73" i="19" s="1"/>
  <c r="W73" i="19" s="1"/>
  <c r="T7" i="19"/>
  <c r="U7" i="19" s="1"/>
  <c r="N7" i="14" s="1"/>
  <c r="T7" i="14" s="1"/>
  <c r="T44" i="19"/>
  <c r="U44" i="19" s="1"/>
  <c r="W44" i="19" s="1"/>
  <c r="T39" i="19"/>
  <c r="U39" i="19" s="1"/>
  <c r="N39" i="14" s="1"/>
  <c r="T39" i="14" s="1"/>
  <c r="T12" i="19"/>
  <c r="U12" i="19" s="1"/>
  <c r="N12" i="14" s="1"/>
  <c r="T12" i="14" s="1"/>
  <c r="T17" i="19"/>
  <c r="U17" i="19" s="1"/>
  <c r="W17" i="19" s="1"/>
  <c r="T30" i="19"/>
  <c r="U30" i="19" s="1"/>
  <c r="W30" i="19" s="1"/>
  <c r="T9" i="19"/>
  <c r="U9" i="19" s="1"/>
  <c r="N9" i="14" s="1"/>
  <c r="T9" i="14" s="1"/>
  <c r="T65" i="19"/>
  <c r="U65" i="19" s="1"/>
  <c r="W65" i="19" s="1"/>
  <c r="T80" i="19"/>
  <c r="U80" i="19" s="1"/>
  <c r="N80" i="14" s="1"/>
  <c r="T80" i="14" s="1"/>
  <c r="T25" i="19"/>
  <c r="U25" i="19" s="1"/>
  <c r="W25" i="19" s="1"/>
  <c r="W79" i="19"/>
  <c r="W56" i="19"/>
  <c r="R54" i="19"/>
  <c r="S54" i="19"/>
  <c r="R82" i="19"/>
  <c r="S82" i="19"/>
  <c r="T6" i="19"/>
  <c r="U6" i="19" s="1"/>
  <c r="T21" i="19"/>
  <c r="U21" i="19" s="1"/>
  <c r="R50" i="19"/>
  <c r="S50" i="19"/>
  <c r="T31" i="19"/>
  <c r="U31" i="19" s="1"/>
  <c r="T61" i="19"/>
  <c r="U61" i="19" s="1"/>
  <c r="T78" i="19"/>
  <c r="U78" i="19" s="1"/>
  <c r="T48" i="19"/>
  <c r="U48" i="19" s="1"/>
  <c r="T11" i="19"/>
  <c r="U11" i="19" s="1"/>
  <c r="R59" i="19"/>
  <c r="S59" i="19"/>
  <c r="T8" i="19"/>
  <c r="U8" i="19" s="1"/>
  <c r="T20" i="19"/>
  <c r="U20" i="19" s="1"/>
  <c r="T49" i="19"/>
  <c r="U49" i="19" s="1"/>
  <c r="T68" i="19"/>
  <c r="U68" i="19" s="1"/>
  <c r="T35" i="19"/>
  <c r="U35" i="19" s="1"/>
  <c r="T27" i="19"/>
  <c r="U27" i="19" s="1"/>
  <c r="T42" i="19"/>
  <c r="U42" i="19" s="1"/>
  <c r="R46" i="19"/>
  <c r="S46" i="19"/>
  <c r="S76" i="19"/>
  <c r="R76" i="19"/>
  <c r="R23" i="19"/>
  <c r="S23" i="19"/>
  <c r="R58" i="19"/>
  <c r="S58" i="19"/>
  <c r="S34" i="19"/>
  <c r="R34" i="19"/>
  <c r="T75" i="19"/>
  <c r="U75" i="19" s="1"/>
  <c r="T4" i="19"/>
  <c r="T24" i="19"/>
  <c r="U24" i="19" s="1"/>
  <c r="T70" i="19"/>
  <c r="U70" i="19" s="1"/>
  <c r="T13" i="19"/>
  <c r="U13" i="19" s="1"/>
  <c r="T28" i="19"/>
  <c r="U28" i="19" s="1"/>
  <c r="T33" i="19"/>
  <c r="U33" i="19" s="1"/>
  <c r="T14" i="19"/>
  <c r="U14" i="19" s="1"/>
  <c r="R63" i="19"/>
  <c r="S63" i="19"/>
  <c r="W37" i="19"/>
  <c r="T32" i="19"/>
  <c r="U32" i="19" s="1"/>
  <c r="T67" i="19"/>
  <c r="U67" i="19" s="1"/>
  <c r="T19" i="19"/>
  <c r="U19" i="19" s="1"/>
  <c r="T5" i="19"/>
  <c r="U5" i="19" s="1"/>
  <c r="T57" i="19"/>
  <c r="U57" i="19" s="1"/>
  <c r="T45" i="19"/>
  <c r="U45" i="19" s="1"/>
  <c r="T36" i="19"/>
  <c r="U36" i="19" s="1"/>
  <c r="T18" i="19"/>
  <c r="U18" i="19" s="1"/>
  <c r="T41" i="19"/>
  <c r="U41" i="19" s="1"/>
  <c r="T40" i="19"/>
  <c r="U40" i="19" s="1"/>
  <c r="W26" i="19" l="1"/>
  <c r="W52" i="19"/>
  <c r="W55" i="19"/>
  <c r="N72" i="14"/>
  <c r="T72" i="14" s="1"/>
  <c r="N62" i="14"/>
  <c r="T62" i="14" s="1"/>
  <c r="N53" i="14"/>
  <c r="T53" i="14" s="1"/>
  <c r="N22" i="14"/>
  <c r="T22" i="14" s="1"/>
  <c r="N25" i="14"/>
  <c r="T25" i="14" s="1"/>
  <c r="N44" i="14"/>
  <c r="T44" i="14" s="1"/>
  <c r="N38" i="14"/>
  <c r="T38" i="14" s="1"/>
  <c r="N43" i="14"/>
  <c r="T43" i="14" s="1"/>
  <c r="N16" i="14"/>
  <c r="T16" i="14" s="1"/>
  <c r="W74" i="19"/>
  <c r="W39" i="19"/>
  <c r="T76" i="19"/>
  <c r="U76" i="19" s="1"/>
  <c r="N76" i="14" s="1"/>
  <c r="T76" i="14" s="1"/>
  <c r="N60" i="14"/>
  <c r="T60" i="14" s="1"/>
  <c r="W69" i="19"/>
  <c r="W77" i="19"/>
  <c r="N64" i="14"/>
  <c r="T64" i="14" s="1"/>
  <c r="W47" i="19"/>
  <c r="W29" i="19"/>
  <c r="W12" i="19"/>
  <c r="N15" i="14"/>
  <c r="T15" i="14" s="1"/>
  <c r="N71" i="14"/>
  <c r="T71" i="14" s="1"/>
  <c r="N17" i="14"/>
  <c r="T17" i="14" s="1"/>
  <c r="N30" i="14"/>
  <c r="T30" i="14" s="1"/>
  <c r="W66" i="19"/>
  <c r="W80" i="19"/>
  <c r="T82" i="19"/>
  <c r="U82" i="19" s="1"/>
  <c r="N82" i="14" s="1"/>
  <c r="T82" i="14" s="1"/>
  <c r="W7" i="19"/>
  <c r="N73" i="14"/>
  <c r="T73" i="14" s="1"/>
  <c r="N10" i="14"/>
  <c r="T10" i="14" s="1"/>
  <c r="N65" i="14"/>
  <c r="T65" i="14" s="1"/>
  <c r="S83" i="19"/>
  <c r="S85" i="19" s="1"/>
  <c r="W51" i="19"/>
  <c r="N81" i="14"/>
  <c r="T81" i="14" s="1"/>
  <c r="W9" i="19"/>
  <c r="T63" i="19"/>
  <c r="U63" i="19" s="1"/>
  <c r="N63" i="14" s="1"/>
  <c r="T63" i="14" s="1"/>
  <c r="T46" i="19"/>
  <c r="U46" i="19" s="1"/>
  <c r="W46" i="19" s="1"/>
  <c r="T59" i="19"/>
  <c r="U59" i="19" s="1"/>
  <c r="N59" i="14" s="1"/>
  <c r="T59" i="14" s="1"/>
  <c r="R83" i="19"/>
  <c r="R85" i="19" s="1"/>
  <c r="T58" i="19"/>
  <c r="U58" i="19" s="1"/>
  <c r="N58" i="14" s="1"/>
  <c r="T58" i="14" s="1"/>
  <c r="T23" i="19"/>
  <c r="U23" i="19" s="1"/>
  <c r="W23" i="19" s="1"/>
  <c r="N67" i="14"/>
  <c r="T67" i="14" s="1"/>
  <c r="W67" i="19"/>
  <c r="W14" i="19"/>
  <c r="N14" i="14"/>
  <c r="T14" i="14" s="1"/>
  <c r="T34" i="19"/>
  <c r="U34" i="19" s="1"/>
  <c r="W42" i="19"/>
  <c r="N42" i="14"/>
  <c r="T42" i="14" s="1"/>
  <c r="N33" i="14"/>
  <c r="T33" i="14" s="1"/>
  <c r="W33" i="19"/>
  <c r="W27" i="19"/>
  <c r="N27" i="14"/>
  <c r="T27" i="14" s="1"/>
  <c r="N11" i="14"/>
  <c r="T11" i="14" s="1"/>
  <c r="W11" i="19"/>
  <c r="N18" i="14"/>
  <c r="T18" i="14" s="1"/>
  <c r="W18" i="19"/>
  <c r="N28" i="14"/>
  <c r="T28" i="14" s="1"/>
  <c r="W28" i="19"/>
  <c r="W35" i="19"/>
  <c r="N35" i="14"/>
  <c r="T35" i="14" s="1"/>
  <c r="W68" i="19"/>
  <c r="N68" i="14"/>
  <c r="T68" i="14" s="1"/>
  <c r="T50" i="19"/>
  <c r="U50" i="19" s="1"/>
  <c r="T54" i="19"/>
  <c r="U54" i="19" s="1"/>
  <c r="W45" i="19"/>
  <c r="N45" i="14"/>
  <c r="T45" i="14" s="1"/>
  <c r="W13" i="19"/>
  <c r="N13" i="14"/>
  <c r="T13" i="14" s="1"/>
  <c r="U4" i="19"/>
  <c r="W49" i="19"/>
  <c r="N49" i="14"/>
  <c r="T49" i="14" s="1"/>
  <c r="N21" i="14"/>
  <c r="T21" i="14" s="1"/>
  <c r="W21" i="19"/>
  <c r="W32" i="19"/>
  <c r="N32" i="14"/>
  <c r="T32" i="14" s="1"/>
  <c r="N57" i="14"/>
  <c r="T57" i="14" s="1"/>
  <c r="W57" i="19"/>
  <c r="N70" i="14"/>
  <c r="T70" i="14" s="1"/>
  <c r="W70" i="19"/>
  <c r="N75" i="14"/>
  <c r="T75" i="14" s="1"/>
  <c r="W75" i="19"/>
  <c r="N20" i="14"/>
  <c r="T20" i="14" s="1"/>
  <c r="W20" i="19"/>
  <c r="W78" i="19"/>
  <c r="N78" i="14"/>
  <c r="T78" i="14" s="1"/>
  <c r="N40" i="14"/>
  <c r="T40" i="14" s="1"/>
  <c r="W40" i="19"/>
  <c r="W5" i="19"/>
  <c r="N5" i="14"/>
  <c r="T5" i="14" s="1"/>
  <c r="N24" i="14"/>
  <c r="T24" i="14" s="1"/>
  <c r="W24" i="19"/>
  <c r="N8" i="14"/>
  <c r="T8" i="14" s="1"/>
  <c r="W8" i="19"/>
  <c r="W48" i="19"/>
  <c r="N48" i="14"/>
  <c r="T48" i="14" s="1"/>
  <c r="W61" i="19"/>
  <c r="N61" i="14"/>
  <c r="T61" i="14" s="1"/>
  <c r="W41" i="19"/>
  <c r="N41" i="14"/>
  <c r="T41" i="14" s="1"/>
  <c r="W36" i="19"/>
  <c r="N36" i="14"/>
  <c r="T36" i="14" s="1"/>
  <c r="W19" i="19"/>
  <c r="N19" i="14"/>
  <c r="T19" i="14" s="1"/>
  <c r="W31" i="19"/>
  <c r="N31" i="14"/>
  <c r="T31" i="14" s="1"/>
  <c r="W6" i="19"/>
  <c r="N6" i="14"/>
  <c r="T6" i="14" s="1"/>
  <c r="W76" i="19" l="1"/>
  <c r="T88" i="19"/>
  <c r="N23" i="14"/>
  <c r="T23" i="14" s="1"/>
  <c r="W63" i="19"/>
  <c r="W82" i="19"/>
  <c r="N46" i="14"/>
  <c r="T46" i="14" s="1"/>
  <c r="W59" i="19"/>
  <c r="W58" i="19"/>
  <c r="W4" i="19"/>
  <c r="U83" i="19"/>
  <c r="U85" i="19" s="1"/>
  <c r="N84" i="14" s="1"/>
  <c r="T84" i="14" s="1"/>
  <c r="N4" i="14"/>
  <c r="T4" i="14" s="1"/>
  <c r="U88" i="19"/>
  <c r="N50" i="14"/>
  <c r="T50" i="14" s="1"/>
  <c r="W50" i="19"/>
  <c r="T83" i="19"/>
  <c r="T85" i="19" s="1"/>
  <c r="N54" i="14"/>
  <c r="T54" i="14" s="1"/>
  <c r="W54" i="19"/>
  <c r="N34" i="14"/>
  <c r="T34" i="14" s="1"/>
  <c r="W34" i="19"/>
  <c r="N83" i="14" l="1"/>
  <c r="W83" i="19"/>
  <c r="C102" i="14"/>
  <c r="N85" i="14" l="1"/>
  <c r="N87" i="14" s="1"/>
  <c r="T83" i="14"/>
  <c r="T85" i="14" l="1"/>
  <c r="T87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tc={EB71E415-EBD0-4497-8D77-1974D9AB53B1}</author>
  </authors>
  <commentList>
    <comment ref="X3" authorId="0" shapeId="0" xr:uid="{EB71E415-EBD0-4497-8D77-1974D9AB53B1}">
      <text>
        <t>[Threaded comment]
Your version of Excel allows you to read this threaded comment; however, any edits to it will get removed if the file is opened in a newer version of Excel. Learn more: https://go.microsoft.com/fwlink/?linkid=870924
Comment:
    Sh KÕP tervislikel põhjustel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Andrus Jõgi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Piirkondlikku kättesaadavust iseloomustav näitaja leitakse asustusüksuste koefitsientide kaalutud keskmisena. Asustusüksuse koefitsient on kuni viiekümne 7–19-aastaste noorte koguarvu korral 5 ning see väheneb iga täiendava noorega 0,01112 võrra, kusjuures negatiivne tulemus loetakse võrdseks nulliga.</t>
        </r>
      </text>
    </comment>
    <comment ref="K1" authorId="0" shapeId="0" xr:uid="{011A97E9-7C2C-4971-8138-44D03DD3D1B3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Toimetulekuraskustes peredes elavate 7–19-aastaste noorte arv toetuse andmise aastale eelneval eelarveaastal toimetulekutoetust ja vajaduspõhist peretoetust saanud peredes Sotsiaalministeeriumi andmetel;</t>
        </r>
      </text>
    </comment>
    <comment ref="L1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7–19-aastaste noorte arv toetuse andmise aasta alguse seisuga rahvastikuregistri andmetel;</t>
        </r>
      </text>
    </comment>
    <comment ref="M1" authorId="0" shapeId="0" xr:uid="{404E0A33-030D-4CC9-8EFE-7111E488DA14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7–19-aastaste puudega noorte arv, kelle kohta on Sotsiaalkindlustusamet teinud puude raskusastme tuvastamise otsuse hiljemalt toetuse andmise aastale eelneva aasta 1. novembriks;</t>
        </r>
      </text>
    </comment>
    <comment ref="C2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elanike arv eelneva eelarveaasta alguse seisuga rahvastikuregistri andmetel.</t>
        </r>
      </text>
    </comment>
    <comment ref="D2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tulumaks ja määratud maamaks toetuse andmise aastale eelneval eelarveaastal Maksu- ja Tolliameti andmetel ning tasandusfond toetuse andmise aastale eelneval eelarveaastal Rahandusministeeriumi andmetel;
Koefitsiendid on arvestatud külade liikumist mitte arvesse võttes. Kuna kõik algandmed on ühtemoodi, ei ole sellel olulist mõju koefitsiendile.</t>
        </r>
      </text>
    </comment>
    <comment ref="F3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186"/>
          </rPr>
          <t>Andrus Jõgi:</t>
        </r>
        <r>
          <rPr>
            <sz val="9"/>
            <color indexed="81"/>
            <rFont val="Segoe UI"/>
            <family val="2"/>
            <charset val="186"/>
          </rPr>
          <t xml:space="preserve">
tasanduse osa</t>
        </r>
      </text>
    </comment>
    <comment ref="Q3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Huvihariduse ja huvitegevuse toetusest jaotatakse 50% huvihariduse ja huvitegevuse kättesaadavuse tagamise eesmärgil ning 50% mitmekesisuse tagamise eesmärgil.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Andrus Jõgi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Kohaliku omavalitsuse üksus esitab andmed lasteaiaõpetajate kinnitatud töötasu alammäära kohta Haridus- ja Teadusministeeriumile hiljemalt toetuse andmise aasta 30. jaanuariks.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andrus.jogi</author>
    <author>Andrus Jõgi</author>
  </authors>
  <commentList>
    <comment ref="C1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186"/>
          </rPr>
          <t>andrus.jogi:</t>
        </r>
        <r>
          <rPr>
            <sz val="9"/>
            <color indexed="81"/>
            <rFont val="Tahoma"/>
            <family val="2"/>
            <charset val="186"/>
          </rPr>
          <t xml:space="preserve">
Sotsiaalkindlustusameti andmetel</t>
        </r>
      </text>
    </comment>
    <comment ref="E1" authorId="1" shapeId="0" xr:uid="{00000000-0006-0000-0700-000002000000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Toetus jaotatakse kohaliku omavalitsuse üksuste vahel proportsionaalselt raske ja sügava puudega laste arvule. Seejuures sügava puudega laste arv korrutatakse 3-ga.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Andrus Jõgi</author>
  </authors>
  <commentList>
    <comment ref="T88" authorId="0" shapeId="0" xr:uid="{00000000-0006-0000-0800-000001000000}">
      <text>
        <r>
          <rPr>
            <b/>
            <sz val="9"/>
            <color indexed="81"/>
            <rFont val="Segoe UI"/>
            <family val="2"/>
            <charset val="186"/>
          </rPr>
          <t>Andrus Jõgi:</t>
        </r>
        <r>
          <rPr>
            <sz val="9"/>
            <color indexed="81"/>
            <rFont val="Segoe UI"/>
            <family val="2"/>
            <charset val="186"/>
          </rPr>
          <t xml:space="preserve">
siin andmehõived ja parandamine koos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tc={DFFDEF60-F0B6-428D-A6F1-8F8259BB2EFA}</author>
    <author>tc={6ED88A23-AE99-48BA-8472-D487626D3579}</author>
  </authors>
  <commentList>
    <comment ref="F1" authorId="0" shapeId="0" xr:uid="{DFFDEF60-F0B6-428D-A6F1-8F8259BB2EFA}">
      <text>
        <t>[Threaded comment]
Your version of Excel allows you to read this threaded comment; however, any edits to it will get removed if the file is opened in a newer version of Excel. Learn more: https://go.microsoft.com/fwlink/?linkid=870924
Comment:
    Neid teid rahastatakse erikorras</t>
      </text>
    </comment>
    <comment ref="H1" authorId="1" shapeId="0" xr:uid="{6ED88A23-AE99-48BA-8472-D487626D3579}">
      <text>
        <t>[Threaded comment]
Your version of Excel allows you to read this threaded comment; however, any edits to it will get removed if the file is opened in a newer version of Excel. Learn more: https://go.microsoft.com/fwlink/?linkid=870924
Comment:
    Neid teid rahastatakse erikorras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tc={4F3BC98C-F222-4A5F-AE7F-A3107A8DE713}</author>
    <author>RM</author>
    <author>Andrus Jõgi</author>
    <author>tc={7AF8783B-717B-42EC-A41D-E2B52E273BA4}</author>
    <author>tc={E3CFFF83-8BB1-406A-98E8-74196D99AE6C}</author>
    <author>tc={4763CA00-542F-4B4B-8D65-CB888D986C1F}</author>
  </authors>
  <commentList>
    <comment ref="BB1" authorId="0" shapeId="0" xr:uid="{4F3BC98C-F222-4A5F-AE7F-A3107A8DE713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2024.a 100%, seejärel väheneb 15 protsendipunkti kaupa algsest summast.</t>
      </text>
    </comment>
    <comment ref="J2" authorId="1" shapeId="0" xr:uid="{D0836DBB-DD0F-4048-8EDD-AB4C1CDB9C51}">
      <text>
        <r>
          <rPr>
            <b/>
            <sz val="8"/>
            <color indexed="81"/>
            <rFont val="Tahoma"/>
            <family val="2"/>
            <charset val="186"/>
          </rPr>
          <t>RM:</t>
        </r>
        <r>
          <rPr>
            <sz val="8"/>
            <color indexed="81"/>
            <rFont val="Tahoma"/>
            <family val="2"/>
            <charset val="186"/>
          </rPr>
          <t xml:space="preserve">
EMTA andmed</t>
        </r>
      </text>
    </comment>
    <comment ref="L2" authorId="1" shapeId="0" xr:uid="{7DF82464-A060-4726-9F8E-A3C8ABFB2487}">
      <text>
        <r>
          <rPr>
            <b/>
            <sz val="8"/>
            <color indexed="81"/>
            <rFont val="Tahoma"/>
            <family val="2"/>
            <charset val="186"/>
          </rPr>
          <t>RM:</t>
        </r>
        <r>
          <rPr>
            <sz val="8"/>
            <color indexed="81"/>
            <rFont val="Tahoma"/>
            <family val="2"/>
            <charset val="186"/>
          </rPr>
          <t xml:space="preserve">
Rahvastikuregister</t>
        </r>
      </text>
    </comment>
    <comment ref="U2" authorId="2" shapeId="0" xr:uid="{8AFCEF7F-6BB5-4BE0-8801-62C0D221B879}">
      <text>
        <r>
          <rPr>
            <b/>
            <sz val="9"/>
            <color indexed="81"/>
            <rFont val="Segoe UI"/>
            <family val="2"/>
            <charset val="186"/>
          </rPr>
          <t>Andrus Jõgi:</t>
        </r>
        <r>
          <rPr>
            <sz val="9"/>
            <color indexed="81"/>
            <rFont val="Segoe UI"/>
            <family val="2"/>
            <charset val="186"/>
          </rPr>
          <t xml:space="preserve">
sh vanglaõpe ja eriõpe, mille eest makstakse juba eraldi tegevuskulu toetust. St topelt. (need ei kajastu üldharidustoetuses). Ei arvestata üksikainete ja ekstern õpilastega.</t>
        </r>
      </text>
    </comment>
    <comment ref="W2" authorId="3" shapeId="0" xr:uid="{7AF8783B-717B-42EC-A41D-E2B52E273BA4}">
      <text>
        <t>[Threaded comment]
Your version of Excel allows you to read this threaded comment; however, any edits to it will get removed if the file is opened in a newer version of Excel. Learn more: https://go.microsoft.com/fwlink/?linkid=870924
Comment:
    SHS § 45'5 lõike 3 punkti 1 alusel asendus- ja järelhooldusel viibivad isikud</t>
      </text>
    </comment>
    <comment ref="X2" authorId="4" shapeId="0" xr:uid="{E3CFFF83-8BB1-406A-98E8-74196D99AE6C}">
      <text>
        <t>[Threaded comment]
Your version of Excel allows you to read this threaded comment; however, any edits to it will get removed if the file is opened in a newer version of Excel. Learn more: https://go.microsoft.com/fwlink/?linkid=870924
Comment:
    SHS § 45'16 lõigete 1 ja 1'1 alusel asendus- ja järelhooldusel viibivad isikud</t>
      </text>
    </comment>
    <comment ref="AQ84" authorId="2" shapeId="0" xr:uid="{3E9DD756-61C2-48EB-ACEA-7E244AC11A2C}">
      <text>
        <r>
          <rPr>
            <b/>
            <sz val="9"/>
            <color indexed="81"/>
            <rFont val="Tahoma"/>
            <family val="2"/>
            <charset val="186"/>
          </rPr>
          <t>Andrus Jõgi:</t>
        </r>
        <r>
          <rPr>
            <sz val="9"/>
            <color indexed="81"/>
            <rFont val="Tahoma"/>
            <family val="2"/>
            <charset val="186"/>
          </rPr>
          <t xml:space="preserve">
2018 - 89,5%
2019 - 88,3%
2020 - 86,7%
2021 - 84,7%
2022 - 81,9%
2023 - 77,8%
2024 - 71,5%
(% on eelmise aasta summast)</t>
        </r>
      </text>
    </comment>
    <comment ref="AM89" authorId="1" shapeId="0" xr:uid="{0AB4D321-53B7-403C-AB58-ED8B764FB4A5}">
      <text>
        <r>
          <rPr>
            <b/>
            <sz val="8"/>
            <color indexed="81"/>
            <rFont val="Tahoma"/>
            <family val="2"/>
            <charset val="186"/>
          </rPr>
          <t>RM:</t>
        </r>
        <r>
          <rPr>
            <sz val="8"/>
            <color indexed="81"/>
            <rFont val="Tahoma"/>
            <family val="2"/>
            <charset val="186"/>
          </rPr>
          <t xml:space="preserve">
Rahvastikuregister</t>
        </r>
      </text>
    </comment>
    <comment ref="AN89" authorId="1" shapeId="0" xr:uid="{3F5E493F-FEC0-4B28-9341-DDFD94D39079}">
      <text>
        <r>
          <rPr>
            <b/>
            <sz val="8"/>
            <color indexed="81"/>
            <rFont val="Tahoma"/>
            <family val="2"/>
            <charset val="186"/>
          </rPr>
          <t>RM:</t>
        </r>
        <r>
          <rPr>
            <sz val="8"/>
            <color indexed="81"/>
            <rFont val="Tahoma"/>
            <family val="2"/>
            <charset val="186"/>
          </rPr>
          <t xml:space="preserve">
Veeteede ameti andmetel</t>
        </r>
      </text>
    </comment>
    <comment ref="H97" authorId="2" shapeId="0" xr:uid="{AFC4EA25-9AD1-418E-865C-AE8F7AD4C934}">
      <text>
        <r>
          <rPr>
            <b/>
            <sz val="9"/>
            <color indexed="81"/>
            <rFont val="Segoe UI"/>
            <family val="2"/>
            <charset val="186"/>
          </rPr>
          <t>Andrus Jõgi:</t>
        </r>
        <r>
          <rPr>
            <sz val="9"/>
            <color indexed="81"/>
            <rFont val="Segoe UI"/>
            <family val="2"/>
            <charset val="186"/>
          </rPr>
          <t xml:space="preserve">
2020.a - 55%
2021.a 40%
2022.a 25%
2023.a 10%
2024.a -</t>
        </r>
      </text>
    </comment>
    <comment ref="H98" authorId="2" shapeId="0" xr:uid="{17341089-5C5D-4E34-9927-1C3E8A089845}">
      <text>
        <r>
          <rPr>
            <b/>
            <sz val="9"/>
            <color indexed="81"/>
            <rFont val="Segoe UI"/>
            <family val="2"/>
            <charset val="186"/>
          </rPr>
          <t>Andrus Jõgi:</t>
        </r>
        <r>
          <rPr>
            <sz val="9"/>
            <color indexed="81"/>
            <rFont val="Segoe UI"/>
            <family val="2"/>
            <charset val="186"/>
          </rPr>
          <t xml:space="preserve">
2020.a 85%
2021.a 70%
2022.a 55%
2023.a 40%
2024.a 25%
2025.a 10%
2026.a -</t>
        </r>
      </text>
    </comment>
    <comment ref="AN104" authorId="5" shapeId="0" xr:uid="{4763CA00-542F-4B4B-8D65-CB888D986C1F}">
      <text>
        <t>[Threaded comment]
Your version of Excel allows you to read this threaded comment; however, any edits to it will get removed if the file is opened in a newer version of Excel. Learn more: https://go.microsoft.com/fwlink/?linkid=870924
Comment:
    2022.a-st 4,5 (enne 2,5)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tc={889F0FD8-B6FB-4DD3-B930-67CBA5D7A968}</author>
    <author>tc={1BC83431-9E54-4864-86D7-8D3815F05CD8}</author>
  </authors>
  <commentList>
    <comment ref="F89" authorId="0" shapeId="0" xr:uid="{889F0FD8-B6FB-4DD3-B930-67CBA5D7A968}">
      <text>
        <t>[Threaded comment]
Your version of Excel allows you to read this threaded comment; however, any edits to it will get removed if the file is opened in a newer version of Excel. Learn more: https://go.microsoft.com/fwlink/?linkid=870924
Comment:
    eelarves</t>
      </text>
    </comment>
    <comment ref="G92" authorId="1" shapeId="0" xr:uid="{1BC83431-9E54-4864-86D7-8D3815F05CD8}">
      <text>
        <t>[Threaded comment]
Your version of Excel allows you to read this threaded comment; however, any edits to it will get removed if the file is opened in a newer version of Excel. Learn more: https://go.microsoft.com/fwlink/?linkid=870924
Comment:
    11 k</t>
      </text>
    </comment>
  </commentList>
</comments>
</file>

<file path=xl/sharedStrings.xml><?xml version="1.0" encoding="utf-8"?>
<sst xmlns="http://schemas.openxmlformats.org/spreadsheetml/2006/main" count="2759" uniqueCount="530">
  <si>
    <t>Võru linn</t>
  </si>
  <si>
    <t>Võru</t>
  </si>
  <si>
    <t>Setomaa</t>
  </si>
  <si>
    <t>Rõuge</t>
  </si>
  <si>
    <t>Antsla</t>
  </si>
  <si>
    <t>Viljandi linn</t>
  </si>
  <si>
    <t>Viljandi</t>
  </si>
  <si>
    <t>Mulgi</t>
  </si>
  <si>
    <t>Põhja-Sakala</t>
  </si>
  <si>
    <t>Tõrva</t>
  </si>
  <si>
    <t>Valga</t>
  </si>
  <si>
    <t>Otepää</t>
  </si>
  <si>
    <t>Kambja</t>
  </si>
  <si>
    <t>Tartu</t>
  </si>
  <si>
    <t>Luunja</t>
  </si>
  <si>
    <t>Tartu linn</t>
  </si>
  <si>
    <t>Kastre</t>
  </si>
  <si>
    <t>Nõo</t>
  </si>
  <si>
    <t>Elva</t>
  </si>
  <si>
    <t>Ruhnu</t>
  </si>
  <si>
    <t>Saare</t>
  </si>
  <si>
    <t>Muhu</t>
  </si>
  <si>
    <t>Saaremaa</t>
  </si>
  <si>
    <t>Kohila</t>
  </si>
  <si>
    <t>Rapla</t>
  </si>
  <si>
    <t>Kehtna</t>
  </si>
  <si>
    <t>Märjamaa</t>
  </si>
  <si>
    <t>Kihnu</t>
  </si>
  <si>
    <t>Pärnu</t>
  </si>
  <si>
    <t>Tori</t>
  </si>
  <si>
    <t>Pärnu linn</t>
  </si>
  <si>
    <t>Põhja-Pärnumaa</t>
  </si>
  <si>
    <t>Häädemeeste</t>
  </si>
  <si>
    <t>Saarde</t>
  </si>
  <si>
    <t>Räpina</t>
  </si>
  <si>
    <t>Põlva</t>
  </si>
  <si>
    <t>Kanepi</t>
  </si>
  <si>
    <t>Rakvere linn</t>
  </si>
  <si>
    <t>Lääne-Viru</t>
  </si>
  <si>
    <t>Viru-Nigula</t>
  </si>
  <si>
    <t>Kadrina</t>
  </si>
  <si>
    <t>Tapa</t>
  </si>
  <si>
    <t>Väike-Maarja</t>
  </si>
  <si>
    <t>Haljala</t>
  </si>
  <si>
    <t>Rakvere</t>
  </si>
  <si>
    <t>Vinni</t>
  </si>
  <si>
    <t>Vormsi</t>
  </si>
  <si>
    <t>Lääne</t>
  </si>
  <si>
    <t>Haapsalu linn</t>
  </si>
  <si>
    <t>Lääneranna</t>
  </si>
  <si>
    <t>Lääne-Nigula</t>
  </si>
  <si>
    <t>Paide linn</t>
  </si>
  <si>
    <t>Järva</t>
  </si>
  <si>
    <t>Türi</t>
  </si>
  <si>
    <t>Mustvee</t>
  </si>
  <si>
    <t>Jõgeva</t>
  </si>
  <si>
    <t>Põltsamaa</t>
  </si>
  <si>
    <t>Kohtla-Järve linn</t>
  </si>
  <si>
    <t>Ida-Viru</t>
  </si>
  <si>
    <t>Narva linn</t>
  </si>
  <si>
    <t>Jõhvi</t>
  </si>
  <si>
    <t>Sillamäe linn</t>
  </si>
  <si>
    <t>Narva-Jõesuu linn</t>
  </si>
  <si>
    <t>Lüganuse</t>
  </si>
  <si>
    <t>Toila vald</t>
  </si>
  <si>
    <t>Alutaguse</t>
  </si>
  <si>
    <t>Hiiumaa</t>
  </si>
  <si>
    <t>Hiiu</t>
  </si>
  <si>
    <t>Maardu linn</t>
  </si>
  <si>
    <t>Harju</t>
  </si>
  <si>
    <t>Viimsi</t>
  </si>
  <si>
    <t>Kiili</t>
  </si>
  <si>
    <t>Tallinn</t>
  </si>
  <si>
    <t>Raasiku</t>
  </si>
  <si>
    <t>Harku</t>
  </si>
  <si>
    <t>Saku</t>
  </si>
  <si>
    <t>Rae</t>
  </si>
  <si>
    <t>Jõelähtme</t>
  </si>
  <si>
    <t>Kose</t>
  </si>
  <si>
    <t>Anija</t>
  </si>
  <si>
    <t>Saue</t>
  </si>
  <si>
    <t>Keila linn</t>
  </si>
  <si>
    <t>Lääne-Harju</t>
  </si>
  <si>
    <t>Loksa linn</t>
  </si>
  <si>
    <t>Kuusalu</t>
  </si>
  <si>
    <t>vahe</t>
  </si>
  <si>
    <t>+kasv</t>
  </si>
  <si>
    <t>teed</t>
  </si>
  <si>
    <t>tööealine (19-65)</t>
  </si>
  <si>
    <t>Gümn õp munitsipaalkoolis</t>
  </si>
  <si>
    <t>Parameetrid</t>
  </si>
  <si>
    <t>Võru vald</t>
  </si>
  <si>
    <t>Rõuge vald</t>
  </si>
  <si>
    <t>Antsla vald</t>
  </si>
  <si>
    <t>Viljandi vald</t>
  </si>
  <si>
    <t>Otepää vald</t>
  </si>
  <si>
    <t>Tartu vald</t>
  </si>
  <si>
    <t>Peipsiääre vald</t>
  </si>
  <si>
    <t>Nõo vald</t>
  </si>
  <si>
    <t>Luunja vald</t>
  </si>
  <si>
    <t>Kambja vald</t>
  </si>
  <si>
    <t>Ruhnu vald</t>
  </si>
  <si>
    <t>Muhu vald</t>
  </si>
  <si>
    <t>Rapla vald</t>
  </si>
  <si>
    <t>Märjamaa vald</t>
  </si>
  <si>
    <t>Kohila vald</t>
  </si>
  <si>
    <t>Kehtna vald</t>
  </si>
  <si>
    <t>Tori vald</t>
  </si>
  <si>
    <t>Saarde vald</t>
  </si>
  <si>
    <t>Kihnu vald</t>
  </si>
  <si>
    <t>Häädemeeste vald</t>
  </si>
  <si>
    <t>Räpina vald</t>
  </si>
  <si>
    <t>Põlva vald</t>
  </si>
  <si>
    <t>Kanepi vald</t>
  </si>
  <si>
    <t>Väike-Maarja vald</t>
  </si>
  <si>
    <t>Viru-Nigula vald</t>
  </si>
  <si>
    <t>Vinni vald</t>
  </si>
  <si>
    <t>Tapa vald</t>
  </si>
  <si>
    <t>Rakvere vald</t>
  </si>
  <si>
    <t>Kadrina vald</t>
  </si>
  <si>
    <t>Haljala vald</t>
  </si>
  <si>
    <t>Vormsi vald</t>
  </si>
  <si>
    <t>Lääne-Nigula vald</t>
  </si>
  <si>
    <t>Türi vald</t>
  </si>
  <si>
    <t>Põltsamaa vald</t>
  </si>
  <si>
    <t>Jõgeva vald</t>
  </si>
  <si>
    <t>Lüganuse vald</t>
  </si>
  <si>
    <t>Jõhvi vald</t>
  </si>
  <si>
    <t>Viimsi vald</t>
  </si>
  <si>
    <t>Saue vald</t>
  </si>
  <si>
    <t>Saku vald</t>
  </si>
  <si>
    <t>Rae vald</t>
  </si>
  <si>
    <t>Raasiku vald</t>
  </si>
  <si>
    <t>Kuusalu vald</t>
  </si>
  <si>
    <t>Kose vald</t>
  </si>
  <si>
    <t>Kiili vald</t>
  </si>
  <si>
    <t>Jõelähtme vald</t>
  </si>
  <si>
    <t>Harku vald</t>
  </si>
  <si>
    <t>Anija vald</t>
  </si>
  <si>
    <t>Rahvaarv KOKKU</t>
  </si>
  <si>
    <t>tööealised 19-64</t>
  </si>
  <si>
    <t>lapsed 7-15</t>
  </si>
  <si>
    <t>lapsed 7-18</t>
  </si>
  <si>
    <t>lapsed 0-6</t>
  </si>
  <si>
    <t>Arvestuslikud kulud KOKKU</t>
  </si>
  <si>
    <t>Tasandusfond</t>
  </si>
  <si>
    <t>ARVESTUSLIKUD TULUD (AT)</t>
  </si>
  <si>
    <t>Kohalik omavalitsus</t>
  </si>
  <si>
    <t>Maakond</t>
  </si>
  <si>
    <t>KOKKU</t>
  </si>
  <si>
    <t>Peipsiääre</t>
  </si>
  <si>
    <t>Tagamaalisuse koefitsient kooliealised</t>
  </si>
  <si>
    <t>%</t>
  </si>
  <si>
    <t>Parameetrite väärtused</t>
  </si>
  <si>
    <t>Veetee pikkus, km</t>
  </si>
  <si>
    <t>Arvestuslik tasandus</t>
  </si>
  <si>
    <t>Väikesaared</t>
  </si>
  <si>
    <t>väikesaare elanik</t>
  </si>
  <si>
    <t>väikesaare veetee pikkus</t>
  </si>
  <si>
    <t>väikesaare baastoetus</t>
  </si>
  <si>
    <t>Kaevandamisõiguse tasude muutmise kompensatsioon</t>
  </si>
  <si>
    <t>Ühinemisest tingitud mõjude katmine (2018-2025)</t>
  </si>
  <si>
    <t>ARVESTUSLIKUD KULUD (AK)</t>
  </si>
  <si>
    <t>koefitsient</t>
  </si>
  <si>
    <t>jääk</t>
  </si>
  <si>
    <t>Kulud</t>
  </si>
  <si>
    <t>Muutus</t>
  </si>
  <si>
    <t>Jääk</t>
  </si>
  <si>
    <t>Tasandus-fondi jaotus</t>
  </si>
  <si>
    <t>Toimetuleku-toetuse maksmise hüvitis</t>
  </si>
  <si>
    <t>Kohalike teede hoiu toetus</t>
  </si>
  <si>
    <t>Toetus KOKKU</t>
  </si>
  <si>
    <t>sh põhikooli õpetajate tööjõukuludeks</t>
  </si>
  <si>
    <t>sh gümnaasiumi õpetajate tööjõukuludeks</t>
  </si>
  <si>
    <t>sh direktorite ja õppealajuhatajate tööjõukuludeks</t>
  </si>
  <si>
    <t>sh õpetajate, direktorite ja õppealajuhatajate täiendus-koolituseks</t>
  </si>
  <si>
    <t>sh õppekirjanduseks</t>
  </si>
  <si>
    <t>sh koolilõunaks</t>
  </si>
  <si>
    <t>Huvihariduse ja -tegevuse toetus</t>
  </si>
  <si>
    <t>Koolieelsete lasteasutuste õpetajate tööjõukulude toetus</t>
  </si>
  <si>
    <t>eakad 65-…</t>
  </si>
  <si>
    <t>jah</t>
  </si>
  <si>
    <t>Sünnid</t>
  </si>
  <si>
    <t>Surmad</t>
  </si>
  <si>
    <t>IK EL</t>
  </si>
  <si>
    <t>Isadus</t>
  </si>
  <si>
    <t>Abielu</t>
  </si>
  <si>
    <t>Lahutus</t>
  </si>
  <si>
    <t>Nime muutus</t>
  </si>
  <si>
    <t>Soo muutus</t>
  </si>
  <si>
    <t>Vaimulike juhendamine</t>
  </si>
  <si>
    <t>muutus</t>
  </si>
  <si>
    <t>maanteed</t>
  </si>
  <si>
    <t>tänavad</t>
  </si>
  <si>
    <t>kaalutud pikkus</t>
  </si>
  <si>
    <t>määr per km</t>
  </si>
  <si>
    <t>raske</t>
  </si>
  <si>
    <t>sügav</t>
  </si>
  <si>
    <t>sügava ja raske puudega laste määra suhtarv</t>
  </si>
  <si>
    <t>EELARVE KOKKU</t>
  </si>
  <si>
    <t>RESERV/JAOTAMATA</t>
  </si>
  <si>
    <t>Finantsvõimekus</t>
  </si>
  <si>
    <t>Sotsiaal-majandusliku kättesaadavuse tagamise toetus arvestatud tegurite lõikes (eurodes)</t>
  </si>
  <si>
    <t>Mitmekesisuse tagamise toetus väikese noorte arvuga ja hõreasutusega piirkondades arvestatud tegurite lõikes (eurodes)</t>
  </si>
  <si>
    <t>Toimetulekuraskustes peredes elavate 7–19-aastaste noorte arv</t>
  </si>
  <si>
    <t>7–19-aastaste noorte arv</t>
  </si>
  <si>
    <t>7–19-aastaste puudega noorte arv</t>
  </si>
  <si>
    <t>7–19 noorte arv</t>
  </si>
  <si>
    <t>Tulumaks</t>
  </si>
  <si>
    <t>Määratud maamaks</t>
  </si>
  <si>
    <t>elaniku kohta</t>
  </si>
  <si>
    <t>Toetust mitte saavate arv:</t>
  </si>
  <si>
    <t>Lapsepõhine toetus</t>
  </si>
  <si>
    <t>Tallinna linn</t>
  </si>
  <si>
    <t>toetus per laps</t>
  </si>
  <si>
    <t>sh tõhustatud ja eritoe tegevuskuludeks</t>
  </si>
  <si>
    <t>Õpilaste arv</t>
  </si>
  <si>
    <t>Hiiumaa vald</t>
  </si>
  <si>
    <t>Alutaguse vald</t>
  </si>
  <si>
    <t>Mustvee vald</t>
  </si>
  <si>
    <t>Järva vald</t>
  </si>
  <si>
    <t>Lääneranna vald</t>
  </si>
  <si>
    <t>Põhja-Pärnumaa vald</t>
  </si>
  <si>
    <t>Saaremaa vald</t>
  </si>
  <si>
    <t>Elva vald</t>
  </si>
  <si>
    <t>Kastre vald</t>
  </si>
  <si>
    <t>Tõrva vald</t>
  </si>
  <si>
    <t>Valga vald</t>
  </si>
  <si>
    <t>Mulgi vald</t>
  </si>
  <si>
    <t>Põhja-Sakala vald</t>
  </si>
  <si>
    <t>Setomaa vald</t>
  </si>
  <si>
    <t>Lääne-Harju vald</t>
  </si>
  <si>
    <t>Õpetaja tööjõukulud</t>
  </si>
  <si>
    <t>Direktorite ja õppealajuhatajate tööjõukulud</t>
  </si>
  <si>
    <t>Täienduskoolitus</t>
  </si>
  <si>
    <t>Õppevahendid</t>
  </si>
  <si>
    <t>Koolilõuna</t>
  </si>
  <si>
    <t>Toetusmäärad (eurodes)</t>
  </si>
  <si>
    <t>HEV tegevuskulu toetus</t>
  </si>
  <si>
    <t>Toetus põhikooli õpetaja tööjõukuludeks</t>
  </si>
  <si>
    <t>Tavaõpe</t>
  </si>
  <si>
    <t>Toetus</t>
  </si>
  <si>
    <t>Tava</t>
  </si>
  <si>
    <t>PK</t>
  </si>
  <si>
    <t>G</t>
  </si>
  <si>
    <t>koefitsient PK</t>
  </si>
  <si>
    <t>Tõhustatud tugi</t>
  </si>
  <si>
    <t>Eritugi</t>
  </si>
  <si>
    <t>HEV</t>
  </si>
  <si>
    <t>Koduõpe lapse-vanema soovil</t>
  </si>
  <si>
    <t>Mittestatsionaarne PK</t>
  </si>
  <si>
    <t>Ekstern</t>
  </si>
  <si>
    <t>Mittestatsionaarne G</t>
  </si>
  <si>
    <t>Üksikaine kursusi</t>
  </si>
  <si>
    <t>Mitte-statsionaarne</t>
  </si>
  <si>
    <t>Väike G lisa</t>
  </si>
  <si>
    <t>Üksik-ained</t>
  </si>
  <si>
    <t>Väike gümnaasiumi lisa koefitsient</t>
  </si>
  <si>
    <t>Toetus 2014 juhtimis-kuludeks</t>
  </si>
  <si>
    <t>Toetus 2014 täienduskoolitus</t>
  </si>
  <si>
    <t>KÕP PK</t>
  </si>
  <si>
    <t>KÕP G</t>
  </si>
  <si>
    <t>sh mittestatsionaarne</t>
  </si>
  <si>
    <t>tõhustatud tugi PK</t>
  </si>
  <si>
    <t>tõhustatud tugi G</t>
  </si>
  <si>
    <t>eritugi</t>
  </si>
  <si>
    <t>Väikesaarte lisa</t>
  </si>
  <si>
    <t>Toetus gümnaasiumi õpetaja tööjõukuludeks</t>
  </si>
  <si>
    <t>Õppe-kirjandus</t>
  </si>
  <si>
    <t>Täiendus-koolitus</t>
  </si>
  <si>
    <t>Direktori ja õppeala-juhataja tööjõukulud</t>
  </si>
  <si>
    <t>Tõhustatud ja eritoe tegevustoetus</t>
  </si>
  <si>
    <t>Tegevusala</t>
  </si>
  <si>
    <t>01800</t>
  </si>
  <si>
    <t>09800</t>
  </si>
  <si>
    <t>09110</t>
  </si>
  <si>
    <t>09510</t>
  </si>
  <si>
    <t>04510</t>
  </si>
  <si>
    <t>Vene koolide 60/40 õppe lisa</t>
  </si>
  <si>
    <t>Saar</t>
  </si>
  <si>
    <t>Abruka</t>
  </si>
  <si>
    <t>Manilaid</t>
  </si>
  <si>
    <t>Piirissaare</t>
  </si>
  <si>
    <t>Kessulaiu</t>
  </si>
  <si>
    <t>Kõinastu</t>
  </si>
  <si>
    <t>Prangli</t>
  </si>
  <si>
    <t>Vilsandi</t>
  </si>
  <si>
    <t>Väike-Pakri</t>
  </si>
  <si>
    <t>Kräsuli</t>
  </si>
  <si>
    <t>Aegna</t>
  </si>
  <si>
    <t>Naissaar</t>
  </si>
  <si>
    <t>Veetee pikkus (km)</t>
  </si>
  <si>
    <t>Baastoetus</t>
  </si>
  <si>
    <t>koefitsient G</t>
  </si>
  <si>
    <t>Toila</t>
  </si>
  <si>
    <t>Korduva tõendi väljastamine</t>
  </si>
  <si>
    <t>IK andmekogu</t>
  </si>
  <si>
    <t>eakas (65 ja üle)</t>
  </si>
  <si>
    <t>0-6-aastane</t>
  </si>
  <si>
    <t>7-18-aastane muu</t>
  </si>
  <si>
    <t>7-15-aastane ujumine</t>
  </si>
  <si>
    <t>Õpetajate tööjõukulu</t>
  </si>
  <si>
    <t>Direktorite ja õppealajuhatajate tööjõukulu</t>
  </si>
  <si>
    <t>Õppekirjandus</t>
  </si>
  <si>
    <t>Tõhustatud ja eritoe tegevuskulu</t>
  </si>
  <si>
    <t>sh MK KOV</t>
  </si>
  <si>
    <t>I kv</t>
  </si>
  <si>
    <t>II kv</t>
  </si>
  <si>
    <t>III kv</t>
  </si>
  <si>
    <t>IV kv</t>
  </si>
  <si>
    <t>Ülekandmine</t>
  </si>
  <si>
    <t>Koduõpe lapsevanema soovil</t>
  </si>
  <si>
    <t>Täiendav koefitsient</t>
  </si>
  <si>
    <t>Väikegümnaasiumi lisakoefitsient</t>
  </si>
  <si>
    <t>Õpetaja töötasu alammäär 90% õpetaja alammäärast (magistril 100%)</t>
  </si>
  <si>
    <t>Tasandustoetus</t>
  </si>
  <si>
    <t>TM määrad</t>
  </si>
  <si>
    <t>Tasakaal</t>
  </si>
  <si>
    <t>väärtused</t>
  </si>
  <si>
    <t>sh kool</t>
  </si>
  <si>
    <t>0-6. aastased</t>
  </si>
  <si>
    <t>infl kasv</t>
  </si>
  <si>
    <t>7-15. aastased</t>
  </si>
  <si>
    <t>16-18. aastased</t>
  </si>
  <si>
    <t>tööealised</t>
  </si>
  <si>
    <t>eakad</t>
  </si>
  <si>
    <t>hooldatavad täiskasvanud</t>
  </si>
  <si>
    <t>hooldatavad lapsed</t>
  </si>
  <si>
    <t>Üldhooldekodude eritoetus</t>
  </si>
  <si>
    <t>Täiendav koolitus</t>
  </si>
  <si>
    <t>Parandamine</t>
  </si>
  <si>
    <t>2018.a andmed</t>
  </si>
  <si>
    <t>2017.a andmed</t>
  </si>
  <si>
    <t>7-15-aastane põhiharidus</t>
  </si>
  <si>
    <t>lisandunud vahendid</t>
  </si>
  <si>
    <t>tugiteenuste lisa</t>
  </si>
  <si>
    <t>jäätmed ja sotsiaalteenused</t>
  </si>
  <si>
    <t>Kohalik omavalitsus (lühinimi)</t>
  </si>
  <si>
    <t>ei</t>
  </si>
  <si>
    <t>Miinuste kontroll</t>
  </si>
  <si>
    <t>Heinlaiu</t>
  </si>
  <si>
    <t>2019.a andmed</t>
  </si>
  <si>
    <t>Välisriigi dokumentide andmehõivekanded</t>
  </si>
  <si>
    <t>Õigustatud huvi korral andmete ja dokumentide väljastamine</t>
  </si>
  <si>
    <t>Arhiivsete aktide andmehõive-kanded</t>
  </si>
  <si>
    <t>Kohtu-otsuste andmehõive-kanded</t>
  </si>
  <si>
    <t>Tava G</t>
  </si>
  <si>
    <t>2020.a andmed</t>
  </si>
  <si>
    <t>arv</t>
  </si>
  <si>
    <t>miinuseid:</t>
  </si>
  <si>
    <t>Kuluvajadus</t>
  </si>
  <si>
    <t>Kultuuriranits</t>
  </si>
  <si>
    <t>Kultuuri-ranits</t>
  </si>
  <si>
    <t>sh kultuuri-ranits</t>
  </si>
  <si>
    <t>Üle antud endiste riigiteede toetus</t>
  </si>
  <si>
    <t>Kohaliku omavalitsuse üksus</t>
  </si>
  <si>
    <t>Sõidutee, km</t>
  </si>
  <si>
    <t>Omaette kergliiklustee, km</t>
  </si>
  <si>
    <t>Kokku</t>
  </si>
  <si>
    <t>sh kattega tänav kõnniteedega</t>
  </si>
  <si>
    <t>sh  kattega maantee</t>
  </si>
  <si>
    <t>sh kruusatee</t>
  </si>
  <si>
    <t xml:space="preserve">Tori vald </t>
  </si>
  <si>
    <t>2021.a andmed</t>
  </si>
  <si>
    <t>kuiselt</t>
  </si>
  <si>
    <t>kvartaalselt</t>
  </si>
  <si>
    <t>ülekande sagedus:</t>
  </si>
  <si>
    <t>Tööjõukulu õpilase kohta 2023</t>
  </si>
  <si>
    <t>Toetus 2023</t>
  </si>
  <si>
    <t>Toimetulekutoetuse maksmise hüvitis 2023</t>
  </si>
  <si>
    <t>Toimetuleku-toetuse maksmise korraldamise hüvitis 2023</t>
  </si>
  <si>
    <t>2022.a andmed</t>
  </si>
  <si>
    <t xml:space="preserve">Elektroonilise avalduse alusel sündide registreerimine </t>
  </si>
  <si>
    <t xml:space="preserve">Veebikeskkonnast saadud avalduse alusel tõendi väljastamise kulude hüvitis </t>
  </si>
  <si>
    <t>Rahvastikuregistri väljavõtte väljastamine</t>
  </si>
  <si>
    <t>Hüvitis 2023</t>
  </si>
  <si>
    <t>Üle antud riigiteed</t>
  </si>
  <si>
    <t>Kokku jaotamisel aluseks võetavate teede pikkus</t>
  </si>
  <si>
    <t>Üle antud riigiteede pikkus</t>
  </si>
  <si>
    <t>Üle antud teehoiu toetus 2023</t>
  </si>
  <si>
    <r>
      <t>Sild, m</t>
    </r>
    <r>
      <rPr>
        <sz val="11"/>
        <rFont val="Calibri"/>
        <family val="2"/>
        <charset val="186"/>
      </rPr>
      <t>²</t>
    </r>
  </si>
  <si>
    <t>Arvestuslikud tulud KOKKU</t>
  </si>
  <si>
    <t>ÜLDTOETUS KOKKU 2023</t>
  </si>
  <si>
    <t>Elanike arv s. 01.01.2023</t>
  </si>
  <si>
    <t>toetus raske puudega lapse kohta</t>
  </si>
  <si>
    <t>toetus sügava puudega lapse kohta</t>
  </si>
  <si>
    <t>KOV osakaal:</t>
  </si>
  <si>
    <t>KOV arv:</t>
  </si>
  <si>
    <t>Suure hooldus- ja abivajadusega lapsele abi osutamise toetus</t>
  </si>
  <si>
    <t>Rahvastiku-toimingute kulude hüvitis</t>
  </si>
  <si>
    <t>Tööjõukulu õpilase kohta 2024</t>
  </si>
  <si>
    <t>Toetus 2024 KOKKU</t>
  </si>
  <si>
    <t>2024 RE</t>
  </si>
  <si>
    <t>Lasteaialaste arv  KOV+ERA (10.11.2023 EHIS, elukohajärgselt)</t>
  </si>
  <si>
    <t>Toetuse arvestus 2024</t>
  </si>
  <si>
    <t>Tulud 2023</t>
  </si>
  <si>
    <t>Toetus 2024</t>
  </si>
  <si>
    <t>KOKKU HÜVITIS 2024</t>
  </si>
  <si>
    <t>Toimetulekutoetuse maksmise hüvitis</t>
  </si>
  <si>
    <t>Toimetuleku-toetuse maksmise korraldamise hüvitis</t>
  </si>
  <si>
    <t>Esitatud toimetuleku-toetuse taotluste arv 2023</t>
  </si>
  <si>
    <t>Üle antud teehoiu toetus 2024</t>
  </si>
  <si>
    <t>2024RE</t>
  </si>
  <si>
    <t>Tulu ja kulutasandus 2024</t>
  </si>
  <si>
    <t>Demograafiline struktuur 1.01.2019</t>
  </si>
  <si>
    <t>Kuluvajadus 2019 el arvu alusel</t>
  </si>
  <si>
    <t>Arvestuslik tasandus 2019 el arvu alusel</t>
  </si>
  <si>
    <t>Elanike kahanemise leevendamise toetus</t>
  </si>
  <si>
    <t>Hooldusreformi toetus</t>
  </si>
  <si>
    <t>Jaanuari tm osa</t>
  </si>
  <si>
    <t>Asendushoolduse ja matusetoetuse tulubaasi üle andmise ülemineku toetus</t>
  </si>
  <si>
    <t>ÜLDTOETUS KOKKU 2024</t>
  </si>
  <si>
    <t>Tulumaks pensionitulult (12k arvestus)</t>
  </si>
  <si>
    <t>Tulumaks muult tulult (12k arvestus 11,89/11,96)</t>
  </si>
  <si>
    <t>Arvestuslik maamaks 2023 max määradega</t>
  </si>
  <si>
    <t>Asendushooldusel</t>
  </si>
  <si>
    <t>Järelhooldusel</t>
  </si>
  <si>
    <t>Väikesaare lisa</t>
  </si>
  <si>
    <t>Erihoolekandest üldhooldusele üle tulnud isikud</t>
  </si>
  <si>
    <t>Eakate arvu alusel</t>
  </si>
  <si>
    <t>Minimaalse lävendi tagamise toetus</t>
  </si>
  <si>
    <t>Pensionitulu 2023 II p.a</t>
  </si>
  <si>
    <t>Tulumaks 2023 II p.a</t>
  </si>
  <si>
    <t>Jaanuari tm toetus</t>
  </si>
  <si>
    <t>eakad 65-84</t>
  </si>
  <si>
    <t>eakad 85-…</t>
  </si>
  <si>
    <t>osakaal</t>
  </si>
  <si>
    <t>2024.a arvestuslik tulumaks</t>
  </si>
  <si>
    <t>Üldhooldusel 1.10.2023</t>
  </si>
  <si>
    <t>erihool.</t>
  </si>
  <si>
    <t>el.järgi</t>
  </si>
  <si>
    <t>Alameede</t>
  </si>
  <si>
    <t>Summa</t>
  </si>
  <si>
    <t>põrand</t>
  </si>
  <si>
    <t>tulu-kulu tasandus</t>
  </si>
  <si>
    <t>SUM</t>
  </si>
  <si>
    <t>el kahanemine</t>
  </si>
  <si>
    <t>EA</t>
  </si>
  <si>
    <t>väikesaared</t>
  </si>
  <si>
    <t>kaevandus</t>
  </si>
  <si>
    <t>lisatud matusetoetuse osa</t>
  </si>
  <si>
    <t>hooldusreform</t>
  </si>
  <si>
    <t>1 kuu tm</t>
  </si>
  <si>
    <t>eakas 65-84</t>
  </si>
  <si>
    <t>asen. üleminek</t>
  </si>
  <si>
    <t>eakas 85 ja üle</t>
  </si>
  <si>
    <t>asendushooldus</t>
  </si>
  <si>
    <t>Mohni</t>
  </si>
  <si>
    <t>Viirelaid</t>
  </si>
  <si>
    <t>Arv</t>
  </si>
  <si>
    <t>Tagamaalisuse koefitsient</t>
  </si>
  <si>
    <t>Ühiku väärtus</t>
  </si>
  <si>
    <t>Arvestuslik kuluvajadus</t>
  </si>
  <si>
    <t>Arvestuslikud tulud</t>
  </si>
  <si>
    <t>Vahe tasandus 90%</t>
  </si>
  <si>
    <t>Riiklik pensionitulu</t>
  </si>
  <si>
    <t>Tulumaks pensionitulult</t>
  </si>
  <si>
    <t>Tulumaks muudelt tuludelt</t>
  </si>
  <si>
    <t>Tulumaks 2024 kokku</t>
  </si>
  <si>
    <t>2023*</t>
  </si>
  <si>
    <t>2024*</t>
  </si>
  <si>
    <t>2024 11k</t>
  </si>
  <si>
    <t>jaanuaris mitte laekuv osa</t>
  </si>
  <si>
    <t>Aadressita</t>
  </si>
  <si>
    <t>Aadressita isikute lisa</t>
  </si>
  <si>
    <t>RM 2023 suvine majandusprognoos</t>
  </si>
  <si>
    <t>kasv</t>
  </si>
  <si>
    <t>2024.a on arvestatud võrdne kasv kõigile KOV-dele, st ei arvestata piirkondlike erisusis (keskmise palga muutus, maksumaksjate arvu muutus)</t>
  </si>
  <si>
    <t>Pensioni brutotulu</t>
  </si>
  <si>
    <t>Tabeli kasutajal tuleb näitajaid kohendada vastavalt kohapealsetele oludele.</t>
  </si>
  <si>
    <t>KOV tulumaks</t>
  </si>
  <si>
    <t>sh pensionitulult</t>
  </si>
  <si>
    <t>sh muult tulult</t>
  </si>
  <si>
    <t>sh muult tulult kohendatud</t>
  </si>
  <si>
    <t>sh SQ tm</t>
  </si>
  <si>
    <t>Pikaajalise hoolduse lisavahendid</t>
  </si>
  <si>
    <t>Tulumaksust (1,88%)</t>
  </si>
  <si>
    <t>Tasandusfondist</t>
  </si>
  <si>
    <t>1 kuu tulumaks</t>
  </si>
  <si>
    <t>Erihoolekandest isikud</t>
  </si>
  <si>
    <t>Põranda tagamine</t>
  </si>
  <si>
    <t>2023.a hüvitamata jäänud</t>
  </si>
  <si>
    <t>Hüvitis 2024 toetusfondist</t>
  </si>
  <si>
    <t>Gümnaasiumiõpilased</t>
  </si>
  <si>
    <t>Puudega hooldatavad lapsed</t>
  </si>
  <si>
    <t>Veebikeskkonnast saadud avalduse alusel rahvastikuregistri väljavõtte väljastamine</t>
  </si>
  <si>
    <t>pearaha</t>
  </si>
  <si>
    <t>alammäär</t>
  </si>
  <si>
    <t>sh jan-juuni</t>
  </si>
  <si>
    <t>KOKKU tasandus- ja toetusfond</t>
  </si>
  <si>
    <t>7–19-aastaste puudega noorte arv 1.11.2023</t>
  </si>
  <si>
    <t>Puudega laste arv, kelle osas otsus tehtud hiljemalt 01.11.2023, vanuses 0-17 (1-2 last on näidatud mõlemad 2 lapsena, arvutustes on kasutatud tegelikku arvu)</t>
  </si>
  <si>
    <t>7–19-aastaste noorte arv 2024</t>
  </si>
  <si>
    <t>Demograafiline struktuur s. 1.1.2024</t>
  </si>
  <si>
    <t>Elanike arv s. 1.1.2024</t>
  </si>
  <si>
    <t>Elanike arv 1.1.2024</t>
  </si>
  <si>
    <t>sh juuli-nov</t>
  </si>
  <si>
    <t>Asendushooldusel 1.12.2023</t>
  </si>
  <si>
    <t>Järelhooldusel 1.12.2023</t>
  </si>
  <si>
    <t>Toetusfondi jaotus</t>
  </si>
  <si>
    <t>Gümnaasiumi-õpilasi munitsipaal-koolides 2023/2024 10.11.2023</t>
  </si>
  <si>
    <t>1x aastas</t>
  </si>
  <si>
    <t>Puudega hooldatavate laste arv 2023</t>
  </si>
  <si>
    <t>Toimetuleku-raskustes peredes elavate 7–19-aastaste noorte arv 2023</t>
  </si>
  <si>
    <t>Kohalike teede pikkus (km) 2024 kokku</t>
  </si>
  <si>
    <t>2023.a andmed</t>
  </si>
  <si>
    <t>Registreeritud juhtumid 2023</t>
  </si>
  <si>
    <t>Hüvitatakse läbi VV sihtotstarbelise reservi ukraina sõjapõgenike toimingud</t>
  </si>
  <si>
    <t>2022 nov-dets</t>
  </si>
  <si>
    <t>Juhtumid 2022 nov-dets</t>
  </si>
  <si>
    <t>Hüvitis 2022 toimingud</t>
  </si>
  <si>
    <t>sh 2023.a katmata jäänud osa</t>
  </si>
  <si>
    <t>Hüvitis muud toimingud toetusfondist</t>
  </si>
  <si>
    <t>SR kokku</t>
  </si>
  <si>
    <t>SR hüvitis 2023 toimingud UA</t>
  </si>
  <si>
    <t>SR hüvitis 2022 nov-dets toimingud UA</t>
  </si>
  <si>
    <t>dets</t>
  </si>
  <si>
    <t>Piirkondliku kättesaadavuse koefitsient 2024</t>
  </si>
  <si>
    <t>Osakaal</t>
  </si>
  <si>
    <t>ühinemise üleminekukompensatsioon</t>
  </si>
  <si>
    <t>sh</t>
  </si>
  <si>
    <t>VV 26.06.2024 korraldus nr 143</t>
  </si>
  <si>
    <t>Üldharidus-koolide pidamiseks antav toetus</t>
  </si>
  <si>
    <t>REM käskkiri 05.03.2024 nr 89</t>
  </si>
  <si>
    <t>Toimetulekutoetuse kulu</t>
  </si>
  <si>
    <t>Toimetuleku-toetuse lisavahendid</t>
  </si>
  <si>
    <t>jan-juuli</t>
  </si>
  <si>
    <t>VV  03.10.2024 korraldus nr 195</t>
  </si>
  <si>
    <t>Üldhariduskoolide pidamiseks antav toetus</t>
  </si>
  <si>
    <t>Lisaeelarve eelnõus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</si>
</sst>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#,##0.000"/>
    <numFmt numFmtId="167" formatCode="#,##0.0"/>
    <numFmt numFmtId="168" formatCode="0.0%"/>
  </numFmts>
  <fonts count="54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color theme="4"/>
      <name val="Arial"/>
      <family val="2"/>
      <charset val="186"/>
    </font>
    <font>
      <sz val="10"/>
      <name val="Arial"/>
      <family val="2"/>
      <charset val="186"/>
    </font>
    <font>
      <i/>
      <sz val="10"/>
      <color theme="3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i/>
      <sz val="10"/>
      <color theme="4" tint="-0.249977111117893"/>
      <name val="Arial"/>
      <family val="2"/>
      <charset val="186"/>
    </font>
    <font>
      <i/>
      <sz val="10"/>
      <color theme="4" tint="-0.499984740745262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0"/>
      <color rgb="FF0070C0"/>
      <name val="Arial"/>
      <family val="2"/>
      <charset val="186"/>
    </font>
    <font>
      <b/>
      <i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1"/>
      <name val="Calibri"/>
      <family val="2"/>
      <charset val="186"/>
    </font>
    <font>
      <b/>
      <sz val="16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</font>
    <font>
      <i/>
      <sz val="10"/>
      <color theme="4"/>
      <name val="Arial"/>
      <family val="2"/>
    </font>
    <font>
      <i/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color theme="0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6" fillId="0" borderId="0" applyAlignment="0"/>
    <xf numFmtId="0" fontId="6" fillId="0" borderId="0"/>
    <xf numFmtId="0" fontId="14" fillId="0" borderId="0"/>
    <xf numFmtId="0" fontId="6" fillId="0" borderId="0" applyAlignment="0"/>
    <xf numFmtId="0" fontId="6" fillId="0" borderId="0" applyAlignment="0"/>
    <xf numFmtId="0" fontId="18" fillId="0" borderId="0"/>
    <xf numFmtId="0" fontId="5" fillId="0" borderId="0"/>
    <xf numFmtId="9" fontId="18" fillId="0" borderId="0" applyFont="0" applyFill="0" applyBorder="0" applyAlignment="0" applyProtection="0"/>
    <xf numFmtId="0" fontId="20" fillId="0" borderId="0"/>
    <xf numFmtId="9" fontId="6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342">
    <xf numFmtId="0" fontId="0" fillId="0" borderId="0" xfId="0"/>
    <xf numFmtId="0" fontId="6" fillId="0" borderId="0" xfId="1"/>
    <xf numFmtId="3" fontId="0" fillId="0" borderId="0" xfId="0" applyNumberFormat="1"/>
    <xf numFmtId="3" fontId="7" fillId="0" borderId="1" xfId="1" quotePrefix="1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6" fillId="0" borderId="0" xfId="1" applyNumberFormat="1"/>
    <xf numFmtId="0" fontId="6" fillId="0" borderId="0" xfId="0" applyFont="1"/>
    <xf numFmtId="0" fontId="6" fillId="0" borderId="1" xfId="1" applyBorder="1"/>
    <xf numFmtId="164" fontId="6" fillId="0" borderId="2" xfId="3" applyNumberFormat="1" applyBorder="1"/>
    <xf numFmtId="0" fontId="6" fillId="0" borderId="1" xfId="1" quotePrefix="1" applyBorder="1"/>
    <xf numFmtId="3" fontId="6" fillId="0" borderId="1" xfId="1" applyNumberFormat="1" applyBorder="1"/>
    <xf numFmtId="165" fontId="9" fillId="0" borderId="1" xfId="1" applyNumberFormat="1" applyFont="1" applyBorder="1" applyAlignment="1">
      <alignment horizontal="center"/>
    </xf>
    <xf numFmtId="3" fontId="6" fillId="0" borderId="1" xfId="1" applyNumberForma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3" fontId="16" fillId="0" borderId="0" xfId="0" applyNumberFormat="1" applyFont="1"/>
    <xf numFmtId="0" fontId="8" fillId="4" borderId="1" xfId="1" applyFont="1" applyFill="1" applyBorder="1" applyAlignment="1">
      <alignment horizontal="center" wrapText="1"/>
    </xf>
    <xf numFmtId="3" fontId="8" fillId="0" borderId="1" xfId="0" applyNumberFormat="1" applyFont="1" applyBorder="1"/>
    <xf numFmtId="0" fontId="17" fillId="0" borderId="0" xfId="0" applyFont="1"/>
    <xf numFmtId="0" fontId="18" fillId="0" borderId="0" xfId="7"/>
    <xf numFmtId="0" fontId="15" fillId="0" borderId="1" xfId="1" applyFont="1" applyBorder="1"/>
    <xf numFmtId="0" fontId="15" fillId="0" borderId="1" xfId="1" applyFont="1" applyBorder="1" applyAlignment="1">
      <alignment wrapText="1"/>
    </xf>
    <xf numFmtId="0" fontId="15" fillId="0" borderId="7" xfId="1" applyFont="1" applyBorder="1" applyAlignment="1">
      <alignment wrapText="1"/>
    </xf>
    <xf numFmtId="0" fontId="15" fillId="0" borderId="1" xfId="1" applyFont="1" applyBorder="1" applyAlignment="1">
      <alignment vertical="top"/>
    </xf>
    <xf numFmtId="9" fontId="19" fillId="0" borderId="0" xfId="0" applyNumberFormat="1" applyFont="1"/>
    <xf numFmtId="3" fontId="0" fillId="6" borderId="1" xfId="0" applyNumberFormat="1" applyFill="1" applyBorder="1"/>
    <xf numFmtId="0" fontId="0" fillId="0" borderId="0" xfId="0" applyAlignment="1">
      <alignment horizontal="right"/>
    </xf>
    <xf numFmtId="0" fontId="24" fillId="0" borderId="1" xfId="1" applyFont="1" applyBorder="1"/>
    <xf numFmtId="0" fontId="24" fillId="0" borderId="1" xfId="1" applyFont="1" applyBorder="1" applyAlignment="1">
      <alignment wrapText="1"/>
    </xf>
    <xf numFmtId="0" fontId="24" fillId="0" borderId="1" xfId="1" applyFont="1" applyBorder="1" applyAlignment="1">
      <alignment vertical="top"/>
    </xf>
    <xf numFmtId="0" fontId="26" fillId="0" borderId="0" xfId="0" applyFont="1"/>
    <xf numFmtId="3" fontId="26" fillId="0" borderId="0" xfId="0" applyNumberFormat="1" applyFont="1"/>
    <xf numFmtId="3" fontId="23" fillId="0" borderId="1" xfId="0" applyNumberFormat="1" applyFont="1" applyBorder="1"/>
    <xf numFmtId="3" fontId="22" fillId="0" borderId="1" xfId="0" applyNumberFormat="1" applyFont="1" applyBorder="1"/>
    <xf numFmtId="0" fontId="8" fillId="0" borderId="0" xfId="0" applyFont="1"/>
    <xf numFmtId="3" fontId="23" fillId="0" borderId="0" xfId="0" applyNumberFormat="1" applyFont="1"/>
    <xf numFmtId="0" fontId="23" fillId="0" borderId="0" xfId="0" applyFont="1"/>
    <xf numFmtId="3" fontId="8" fillId="6" borderId="1" xfId="0" applyNumberFormat="1" applyFont="1" applyFill="1" applyBorder="1"/>
    <xf numFmtId="4" fontId="0" fillId="0" borderId="1" xfId="0" applyNumberFormat="1" applyBorder="1"/>
    <xf numFmtId="4" fontId="0" fillId="6" borderId="1" xfId="0" applyNumberFormat="1" applyFill="1" applyBorder="1"/>
    <xf numFmtId="3" fontId="6" fillId="0" borderId="1" xfId="0" applyNumberFormat="1" applyFont="1" applyBorder="1"/>
    <xf numFmtId="3" fontId="0" fillId="0" borderId="0" xfId="0" applyNumberFormat="1" applyAlignment="1">
      <alignment horizontal="right"/>
    </xf>
    <xf numFmtId="3" fontId="28" fillId="0" borderId="0" xfId="0" applyNumberFormat="1" applyFont="1"/>
    <xf numFmtId="0" fontId="25" fillId="0" borderId="0" xfId="0" applyFont="1"/>
    <xf numFmtId="0" fontId="8" fillId="6" borderId="1" xfId="1" applyFont="1" applyFill="1" applyBorder="1"/>
    <xf numFmtId="3" fontId="15" fillId="0" borderId="1" xfId="1" applyNumberFormat="1" applyFont="1" applyBorder="1" applyAlignment="1">
      <alignment wrapText="1"/>
    </xf>
    <xf numFmtId="3" fontId="8" fillId="6" borderId="1" xfId="1" applyNumberFormat="1" applyFont="1" applyFill="1" applyBorder="1"/>
    <xf numFmtId="0" fontId="29" fillId="0" borderId="0" xfId="1" applyFont="1" applyAlignment="1">
      <alignment wrapText="1"/>
    </xf>
    <xf numFmtId="166" fontId="15" fillId="0" borderId="1" xfId="1" applyNumberFormat="1" applyFont="1" applyBorder="1" applyAlignment="1">
      <alignment wrapText="1"/>
    </xf>
    <xf numFmtId="9" fontId="25" fillId="0" borderId="0" xfId="0" applyNumberFormat="1" applyFont="1"/>
    <xf numFmtId="0" fontId="23" fillId="0" borderId="0" xfId="0" applyFont="1" applyAlignment="1">
      <alignment horizontal="left"/>
    </xf>
    <xf numFmtId="0" fontId="23" fillId="0" borderId="0" xfId="0" quotePrefix="1" applyFont="1" applyAlignment="1">
      <alignment horizontal="left"/>
    </xf>
    <xf numFmtId="0" fontId="0" fillId="0" borderId="0" xfId="1" applyFont="1"/>
    <xf numFmtId="0" fontId="21" fillId="0" borderId="1" xfId="1" applyFont="1" applyBorder="1"/>
    <xf numFmtId="3" fontId="21" fillId="0" borderId="1" xfId="1" applyNumberFormat="1" applyFont="1" applyBorder="1"/>
    <xf numFmtId="0" fontId="16" fillId="0" borderId="0" xfId="0" applyFont="1"/>
    <xf numFmtId="9" fontId="0" fillId="0" borderId="0" xfId="11" applyFont="1"/>
    <xf numFmtId="0" fontId="0" fillId="0" borderId="0" xfId="0" applyAlignment="1">
      <alignment horizontal="left"/>
    </xf>
    <xf numFmtId="0" fontId="15" fillId="3" borderId="1" xfId="1" applyFont="1" applyFill="1" applyBorder="1" applyAlignment="1">
      <alignment wrapText="1"/>
    </xf>
    <xf numFmtId="3" fontId="8" fillId="0" borderId="1" xfId="1" applyNumberFormat="1" applyFont="1" applyBorder="1"/>
    <xf numFmtId="0" fontId="23" fillId="0" borderId="0" xfId="1" applyFont="1"/>
    <xf numFmtId="9" fontId="23" fillId="0" borderId="0" xfId="1" applyNumberFormat="1" applyFont="1"/>
    <xf numFmtId="3" fontId="30" fillId="0" borderId="1" xfId="1" applyNumberFormat="1" applyFont="1" applyBorder="1" applyAlignment="1">
      <alignment wrapText="1"/>
    </xf>
    <xf numFmtId="0" fontId="33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3" fontId="30" fillId="3" borderId="1" xfId="1" applyNumberFormat="1" applyFont="1" applyFill="1" applyBorder="1" applyAlignment="1">
      <alignment wrapText="1"/>
    </xf>
    <xf numFmtId="0" fontId="16" fillId="0" borderId="1" xfId="1" applyFont="1" applyBorder="1"/>
    <xf numFmtId="0" fontId="6" fillId="0" borderId="0" xfId="12"/>
    <xf numFmtId="0" fontId="8" fillId="0" borderId="0" xfId="12" applyFont="1" applyAlignment="1">
      <alignment horizontal="center"/>
    </xf>
    <xf numFmtId="4" fontId="6" fillId="0" borderId="0" xfId="12" applyNumberFormat="1"/>
    <xf numFmtId="3" fontId="6" fillId="0" borderId="0" xfId="12" applyNumberFormat="1"/>
    <xf numFmtId="167" fontId="6" fillId="0" borderId="1" xfId="1" applyNumberFormat="1" applyBorder="1"/>
    <xf numFmtId="3" fontId="6" fillId="0" borderId="1" xfId="12" applyNumberFormat="1" applyBorder="1"/>
    <xf numFmtId="1" fontId="6" fillId="0" borderId="0" xfId="12" applyNumberFormat="1"/>
    <xf numFmtId="0" fontId="0" fillId="0" borderId="0" xfId="12" applyFont="1"/>
    <xf numFmtId="0" fontId="35" fillId="0" borderId="0" xfId="0" applyFont="1"/>
    <xf numFmtId="2" fontId="0" fillId="0" borderId="0" xfId="0" applyNumberFormat="1"/>
    <xf numFmtId="2" fontId="25" fillId="0" borderId="0" xfId="0" applyNumberFormat="1" applyFont="1"/>
    <xf numFmtId="16" fontId="0" fillId="0" borderId="0" xfId="0" applyNumberFormat="1"/>
    <xf numFmtId="9" fontId="6" fillId="0" borderId="0" xfId="11"/>
    <xf numFmtId="0" fontId="0" fillId="0" borderId="0" xfId="7" applyFont="1"/>
    <xf numFmtId="0" fontId="8" fillId="3" borderId="6" xfId="1" applyFont="1" applyFill="1" applyBorder="1" applyAlignment="1">
      <alignment horizontal="center" wrapText="1"/>
    </xf>
    <xf numFmtId="165" fontId="0" fillId="0" borderId="0" xfId="0" applyNumberFormat="1"/>
    <xf numFmtId="0" fontId="6" fillId="0" borderId="0" xfId="0" applyFont="1" applyAlignment="1">
      <alignment horizontal="left"/>
    </xf>
    <xf numFmtId="0" fontId="6" fillId="0" borderId="10" xfId="1" applyBorder="1"/>
    <xf numFmtId="0" fontId="8" fillId="6" borderId="1" xfId="1" applyFont="1" applyFill="1" applyBorder="1" applyAlignment="1">
      <alignment horizontal="center" wrapText="1"/>
    </xf>
    <xf numFmtId="166" fontId="0" fillId="0" borderId="0" xfId="0" applyNumberFormat="1"/>
    <xf numFmtId="0" fontId="36" fillId="6" borderId="1" xfId="1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28" fillId="0" borderId="0" xfId="0" applyFont="1"/>
    <xf numFmtId="164" fontId="0" fillId="0" borderId="1" xfId="0" applyNumberFormat="1" applyBorder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3" fontId="16" fillId="0" borderId="0" xfId="1" applyNumberFormat="1" applyFont="1"/>
    <xf numFmtId="1" fontId="0" fillId="0" borderId="0" xfId="11" applyNumberFormat="1" applyFont="1"/>
    <xf numFmtId="0" fontId="8" fillId="6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8" fillId="6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1" fontId="19" fillId="0" borderId="0" xfId="0" applyNumberFormat="1" applyFont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" fontId="0" fillId="0" borderId="0" xfId="0" applyNumberFormat="1"/>
    <xf numFmtId="0" fontId="8" fillId="2" borderId="1" xfId="1" applyFont="1" applyFill="1" applyBorder="1" applyAlignment="1">
      <alignment horizontal="center" wrapText="1"/>
    </xf>
    <xf numFmtId="167" fontId="0" fillId="0" borderId="1" xfId="0" applyNumberFormat="1" applyBorder="1"/>
    <xf numFmtId="3" fontId="6" fillId="3" borderId="1" xfId="1" applyNumberFormat="1" applyFill="1" applyBorder="1"/>
    <xf numFmtId="0" fontId="6" fillId="0" borderId="0" xfId="1" applyAlignment="1">
      <alignment horizontal="right"/>
    </xf>
    <xf numFmtId="166" fontId="23" fillId="0" borderId="0" xfId="0" applyNumberFormat="1" applyFont="1"/>
    <xf numFmtId="10" fontId="0" fillId="0" borderId="0" xfId="11" applyNumberFormat="1" applyFont="1"/>
    <xf numFmtId="1" fontId="25" fillId="0" borderId="0" xfId="0" applyNumberFormat="1" applyFont="1"/>
    <xf numFmtId="3" fontId="16" fillId="0" borderId="1" xfId="0" applyNumberFormat="1" applyFont="1" applyBorder="1"/>
    <xf numFmtId="0" fontId="2" fillId="0" borderId="0" xfId="17"/>
    <xf numFmtId="0" fontId="8" fillId="5" borderId="7" xfId="1" applyFont="1" applyFill="1" applyBorder="1" applyAlignment="1">
      <alignment horizontal="center" wrapText="1"/>
    </xf>
    <xf numFmtId="0" fontId="8" fillId="9" borderId="7" xfId="1" applyFont="1" applyFill="1" applyBorder="1" applyAlignment="1">
      <alignment horizontal="center" wrapText="1"/>
    </xf>
    <xf numFmtId="0" fontId="8" fillId="4" borderId="7" xfId="1" applyFont="1" applyFill="1" applyBorder="1" applyAlignment="1">
      <alignment horizontal="center" wrapText="1"/>
    </xf>
    <xf numFmtId="4" fontId="6" fillId="0" borderId="1" xfId="1" applyNumberFormat="1" applyBorder="1"/>
    <xf numFmtId="165" fontId="6" fillId="0" borderId="1" xfId="1" applyNumberFormat="1" applyBorder="1"/>
    <xf numFmtId="165" fontId="8" fillId="0" borderId="1" xfId="1" applyNumberFormat="1" applyFont="1" applyBorder="1"/>
    <xf numFmtId="166" fontId="6" fillId="0" borderId="0" xfId="1" applyNumberFormat="1"/>
    <xf numFmtId="165" fontId="9" fillId="0" borderId="0" xfId="1" applyNumberFormat="1" applyFont="1" applyAlignment="1">
      <alignment horizontal="center"/>
    </xf>
    <xf numFmtId="9" fontId="9" fillId="0" borderId="0" xfId="11" applyFont="1" applyBorder="1" applyAlignment="1">
      <alignment horizontal="center"/>
    </xf>
    <xf numFmtId="0" fontId="17" fillId="0" borderId="0" xfId="1" applyFont="1"/>
    <xf numFmtId="0" fontId="8" fillId="4" borderId="6" xfId="1" applyFont="1" applyFill="1" applyBorder="1" applyAlignment="1">
      <alignment horizontal="center" wrapText="1"/>
    </xf>
    <xf numFmtId="0" fontId="21" fillId="0" borderId="0" xfId="1" applyFont="1"/>
    <xf numFmtId="9" fontId="44" fillId="0" borderId="0" xfId="11" applyFont="1"/>
    <xf numFmtId="0" fontId="6" fillId="0" borderId="4" xfId="1" applyBorder="1"/>
    <xf numFmtId="1" fontId="6" fillId="0" borderId="1" xfId="12" applyNumberFormat="1" applyBorder="1"/>
    <xf numFmtId="164" fontId="6" fillId="0" borderId="1" xfId="1" applyNumberFormat="1" applyBorder="1"/>
    <xf numFmtId="164" fontId="6" fillId="0" borderId="1" xfId="12" applyNumberFormat="1" applyBorder="1"/>
    <xf numFmtId="0" fontId="21" fillId="0" borderId="4" xfId="1" applyFont="1" applyBorder="1"/>
    <xf numFmtId="4" fontId="6" fillId="0" borderId="0" xfId="1" applyNumberFormat="1"/>
    <xf numFmtId="0" fontId="8" fillId="0" borderId="0" xfId="1" applyFont="1" applyAlignment="1">
      <alignment horizontal="center"/>
    </xf>
    <xf numFmtId="165" fontId="6" fillId="0" borderId="0" xfId="1" applyNumberFormat="1"/>
    <xf numFmtId="0" fontId="45" fillId="0" borderId="1" xfId="17" applyFont="1" applyBorder="1"/>
    <xf numFmtId="0" fontId="46" fillId="0" borderId="1" xfId="17" applyFont="1" applyBorder="1"/>
    <xf numFmtId="0" fontId="46" fillId="0" borderId="1" xfId="17" applyFont="1" applyBorder="1" applyAlignment="1">
      <alignment wrapText="1"/>
    </xf>
    <xf numFmtId="0" fontId="2" fillId="0" borderId="1" xfId="17" applyBorder="1"/>
    <xf numFmtId="3" fontId="2" fillId="0" borderId="1" xfId="17" applyNumberFormat="1" applyBorder="1"/>
    <xf numFmtId="3" fontId="46" fillId="0" borderId="1" xfId="17" applyNumberFormat="1" applyFont="1" applyBorder="1"/>
    <xf numFmtId="3" fontId="2" fillId="0" borderId="0" xfId="17" applyNumberFormat="1"/>
    <xf numFmtId="0" fontId="44" fillId="0" borderId="0" xfId="17" applyFont="1"/>
    <xf numFmtId="0" fontId="47" fillId="6" borderId="1" xfId="17" applyFont="1" applyFill="1" applyBorder="1" applyAlignment="1">
      <alignment horizontal="center"/>
    </xf>
    <xf numFmtId="0" fontId="44" fillId="0" borderId="1" xfId="1" applyFont="1" applyBorder="1"/>
    <xf numFmtId="0" fontId="44" fillId="0" borderId="1" xfId="1" applyFont="1" applyBorder="1" applyAlignment="1">
      <alignment wrapText="1"/>
    </xf>
    <xf numFmtId="3" fontId="44" fillId="0" borderId="1" xfId="17" applyNumberFormat="1" applyFont="1" applyBorder="1"/>
    <xf numFmtId="3" fontId="44" fillId="0" borderId="0" xfId="17" applyNumberFormat="1" applyFont="1"/>
    <xf numFmtId="3" fontId="44" fillId="0" borderId="7" xfId="17" applyNumberFormat="1" applyFont="1" applyBorder="1"/>
    <xf numFmtId="0" fontId="44" fillId="0" borderId="1" xfId="1" applyFont="1" applyBorder="1" applyAlignment="1">
      <alignment vertical="top"/>
    </xf>
    <xf numFmtId="3" fontId="47" fillId="0" borderId="1" xfId="17" applyNumberFormat="1" applyFont="1" applyBorder="1"/>
    <xf numFmtId="0" fontId="47" fillId="0" borderId="0" xfId="1" applyFont="1" applyAlignment="1">
      <alignment wrapText="1"/>
    </xf>
    <xf numFmtId="0" fontId="47" fillId="0" borderId="0" xfId="17" applyFont="1" applyAlignment="1">
      <alignment horizontal="center"/>
    </xf>
    <xf numFmtId="0" fontId="49" fillId="0" borderId="0" xfId="17" applyFont="1"/>
    <xf numFmtId="168" fontId="44" fillId="0" borderId="0" xfId="11" applyNumberFormat="1" applyFont="1"/>
    <xf numFmtId="168" fontId="44" fillId="0" borderId="0" xfId="17" applyNumberFormat="1" applyFont="1"/>
    <xf numFmtId="167" fontId="44" fillId="0" borderId="0" xfId="17" applyNumberFormat="1" applyFont="1"/>
    <xf numFmtId="165" fontId="44" fillId="0" borderId="0" xfId="17" applyNumberFormat="1" applyFont="1"/>
    <xf numFmtId="1" fontId="44" fillId="0" borderId="0" xfId="17" applyNumberFormat="1" applyFont="1"/>
    <xf numFmtId="0" fontId="2" fillId="6" borderId="1" xfId="17" applyFill="1" applyBorder="1"/>
    <xf numFmtId="0" fontId="44" fillId="0" borderId="1" xfId="17" applyFont="1" applyBorder="1"/>
    <xf numFmtId="0" fontId="47" fillId="0" borderId="1" xfId="17" applyFont="1" applyBorder="1"/>
    <xf numFmtId="3" fontId="50" fillId="0" borderId="0" xfId="1" applyNumberFormat="1" applyFont="1"/>
    <xf numFmtId="0" fontId="51" fillId="0" borderId="1" xfId="1" applyFont="1" applyBorder="1"/>
    <xf numFmtId="0" fontId="51" fillId="0" borderId="1" xfId="1" applyFont="1" applyBorder="1" applyAlignment="1">
      <alignment horizontal="center"/>
    </xf>
    <xf numFmtId="0" fontId="1" fillId="0" borderId="1" xfId="17" applyFont="1" applyBorder="1"/>
    <xf numFmtId="168" fontId="0" fillId="0" borderId="0" xfId="11" applyNumberFormat="1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8" fillId="4" borderId="1" xfId="0" applyFont="1" applyFill="1" applyBorder="1" applyAlignment="1">
      <alignment horizontal="center"/>
    </xf>
    <xf numFmtId="9" fontId="51" fillId="4" borderId="1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1" fillId="6" borderId="1" xfId="0" applyFont="1" applyFill="1" applyBorder="1" applyAlignment="1">
      <alignment horizontal="center" wrapText="1"/>
    </xf>
    <xf numFmtId="3" fontId="21" fillId="0" borderId="0" xfId="1" applyNumberFormat="1" applyFont="1"/>
    <xf numFmtId="0" fontId="21" fillId="6" borderId="1" xfId="17" applyFont="1" applyFill="1" applyBorder="1" applyAlignment="1">
      <alignment horizontal="center"/>
    </xf>
    <xf numFmtId="2" fontId="2" fillId="0" borderId="1" xfId="17" applyNumberFormat="1" applyBorder="1"/>
    <xf numFmtId="0" fontId="22" fillId="0" borderId="1" xfId="0" applyFont="1" applyBorder="1" applyAlignment="1">
      <alignment horizontal="center"/>
    </xf>
    <xf numFmtId="0" fontId="6" fillId="6" borderId="1" xfId="1" applyFill="1" applyBorder="1" applyAlignment="1">
      <alignment horizontal="center"/>
    </xf>
    <xf numFmtId="0" fontId="6" fillId="0" borderId="0" xfId="3"/>
    <xf numFmtId="0" fontId="21" fillId="0" borderId="0" xfId="0" applyFont="1"/>
    <xf numFmtId="0" fontId="8" fillId="6" borderId="1" xfId="0" applyFont="1" applyFill="1" applyBorder="1" applyAlignment="1">
      <alignment horizontal="center" wrapText="1"/>
    </xf>
    <xf numFmtId="0" fontId="8" fillId="6" borderId="10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5" borderId="6" xfId="1" applyFont="1" applyFill="1" applyBorder="1" applyAlignment="1">
      <alignment horizontal="center" wrapText="1"/>
    </xf>
    <xf numFmtId="0" fontId="6" fillId="0" borderId="10" xfId="0" applyFont="1" applyBorder="1"/>
    <xf numFmtId="0" fontId="6" fillId="0" borderId="7" xfId="0" applyFont="1" applyBorder="1"/>
    <xf numFmtId="0" fontId="38" fillId="6" borderId="1" xfId="0" applyFont="1" applyFill="1" applyBorder="1" applyAlignment="1">
      <alignment horizontal="center" wrapText="1"/>
    </xf>
    <xf numFmtId="0" fontId="8" fillId="5" borderId="1" xfId="1" applyFont="1" applyFill="1" applyBorder="1" applyAlignment="1">
      <alignment horizontal="center" wrapText="1"/>
    </xf>
    <xf numFmtId="0" fontId="0" fillId="5" borderId="1" xfId="0" applyFill="1" applyBorder="1"/>
    <xf numFmtId="0" fontId="8" fillId="6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6" borderId="3" xfId="1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0" fillId="0" borderId="10" xfId="0" applyBorder="1"/>
    <xf numFmtId="0" fontId="0" fillId="0" borderId="7" xfId="0" applyBorder="1"/>
    <xf numFmtId="0" fontId="6" fillId="5" borderId="1" xfId="0" applyFont="1" applyFill="1" applyBorder="1"/>
    <xf numFmtId="0" fontId="8" fillId="0" borderId="1" xfId="0" applyFont="1" applyBorder="1" applyAlignment="1">
      <alignment horizontal="center"/>
    </xf>
    <xf numFmtId="0" fontId="8" fillId="6" borderId="4" xfId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1" xfId="0" applyBorder="1"/>
    <xf numFmtId="0" fontId="8" fillId="6" borderId="6" xfId="1" applyFont="1" applyFill="1" applyBorder="1" applyAlignment="1">
      <alignment horizontal="center" wrapText="1"/>
    </xf>
    <xf numFmtId="0" fontId="8" fillId="5" borderId="4" xfId="1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6" borderId="1" xfId="1" applyFont="1" applyFill="1" applyBorder="1"/>
    <xf numFmtId="0" fontId="8" fillId="4" borderId="1" xfId="1" applyFont="1" applyFill="1" applyBorder="1" applyAlignment="1">
      <alignment horizontal="center" wrapText="1"/>
    </xf>
    <xf numFmtId="0" fontId="6" fillId="0" borderId="1" xfId="0" applyFont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wrapText="1"/>
    </xf>
    <xf numFmtId="0" fontId="8" fillId="6" borderId="11" xfId="1" applyFont="1" applyFill="1" applyBorder="1" applyAlignment="1">
      <alignment horizontal="center" wrapText="1"/>
    </xf>
    <xf numFmtId="0" fontId="8" fillId="6" borderId="8" xfId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0" fillId="0" borderId="11" xfId="0" applyBorder="1"/>
    <xf numFmtId="0" fontId="6" fillId="5" borderId="1" xfId="1" applyFill="1" applyBorder="1"/>
    <xf numFmtId="0" fontId="8" fillId="7" borderId="1" xfId="1" applyFont="1" applyFill="1" applyBorder="1" applyAlignment="1">
      <alignment horizontal="center" wrapText="1"/>
    </xf>
    <xf numFmtId="0" fontId="6" fillId="7" borderId="1" xfId="1" applyFill="1" applyBorder="1"/>
    <xf numFmtId="0" fontId="8" fillId="8" borderId="1" xfId="1" applyFont="1" applyFill="1" applyBorder="1" applyAlignment="1">
      <alignment horizontal="center" wrapText="1"/>
    </xf>
    <xf numFmtId="0" fontId="6" fillId="0" borderId="1" xfId="1" applyBorder="1"/>
    <xf numFmtId="0" fontId="6" fillId="6" borderId="1" xfId="1" applyFill="1" applyBorder="1"/>
    <xf numFmtId="0" fontId="8" fillId="6" borderId="12" xfId="1" applyFont="1" applyFill="1" applyBorder="1" applyAlignment="1">
      <alignment horizontal="center" wrapText="1"/>
    </xf>
    <xf numFmtId="0" fontId="6" fillId="0" borderId="12" xfId="0" applyFont="1" applyBorder="1"/>
    <xf numFmtId="0" fontId="0" fillId="0" borderId="13" xfId="0" applyBorder="1"/>
    <xf numFmtId="0" fontId="6" fillId="6" borderId="8" xfId="0" applyFont="1" applyFill="1" applyBorder="1"/>
    <xf numFmtId="0" fontId="6" fillId="6" borderId="5" xfId="0" applyFont="1" applyFill="1" applyBorder="1"/>
    <xf numFmtId="0" fontId="6" fillId="0" borderId="5" xfId="0" applyFont="1" applyBorder="1"/>
    <xf numFmtId="0" fontId="0" fillId="0" borderId="14" xfId="0" applyBorder="1"/>
    <xf numFmtId="0" fontId="6" fillId="6" borderId="12" xfId="0" applyFont="1" applyFill="1" applyBorder="1"/>
    <xf numFmtId="0" fontId="8" fillId="0" borderId="1" xfId="1" applyFont="1" applyBorder="1"/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6" fillId="6" borderId="1" xfId="1" applyFill="1" applyBorder="1" applyAlignment="1">
      <alignment horizontal="center"/>
    </xf>
    <xf numFmtId="0" fontId="6" fillId="5" borderId="1" xfId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1" fillId="6" borderId="4" xfId="0" applyFont="1" applyFill="1" applyBorder="1" applyAlignment="1">
      <alignment horizontal="center" wrapText="1"/>
    </xf>
    <xf numFmtId="0" fontId="21" fillId="6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/>
    </xf>
    <xf numFmtId="0" fontId="2" fillId="0" borderId="9" xfId="17" applyBorder="1"/>
    <xf numFmtId="0" fontId="2" fillId="0" borderId="2" xfId="17" applyBorder="1"/>
    <xf numFmtId="0" fontId="8" fillId="0" borderId="4" xfId="1" applyFont="1" applyBorder="1" applyAlignment="1">
      <alignment horizontal="center" vertical="center" wrapText="1"/>
    </xf>
    <xf numFmtId="0" fontId="6" fillId="4" borderId="1" xfId="1" applyFill="1" applyBorder="1"/>
    <xf numFmtId="0" fontId="40" fillId="2" borderId="1" xfId="1" applyFont="1" applyFill="1" applyBorder="1" applyAlignment="1">
      <alignment horizontal="center" wrapText="1"/>
    </xf>
    <xf numFmtId="0" fontId="6" fillId="0" borderId="1" xfId="1" applyBorder="1" applyAlignment="1">
      <alignment horizontal="center" wrapText="1"/>
    </xf>
    <xf numFmtId="0" fontId="8" fillId="2" borderId="6" xfId="1" applyFont="1" applyFill="1" applyBorder="1" applyAlignment="1">
      <alignment horizontal="center" wrapText="1"/>
    </xf>
    <xf numFmtId="0" fontId="6" fillId="0" borderId="7" xfId="1" applyBorder="1" applyAlignment="1">
      <alignment horizontal="center"/>
    </xf>
    <xf numFmtId="0" fontId="8" fillId="6" borderId="1" xfId="1" applyFont="1" applyFill="1" applyBorder="1" applyAlignment="1">
      <alignment horizontal="center"/>
    </xf>
    <xf numFmtId="0" fontId="6" fillId="0" borderId="1" xfId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41" fillId="0" borderId="5" xfId="17" applyFont="1" applyBorder="1" applyAlignment="1">
      <alignment horizontal="center"/>
    </xf>
    <xf numFmtId="0" fontId="41" fillId="0" borderId="14" xfId="17" applyFont="1" applyBorder="1" applyAlignment="1">
      <alignment horizontal="center"/>
    </xf>
    <xf numFmtId="0" fontId="41" fillId="4" borderId="5" xfId="17" applyFont="1" applyFill="1" applyBorder="1" applyAlignment="1">
      <alignment horizontal="center"/>
    </xf>
    <xf numFmtId="0" fontId="41" fillId="4" borderId="14" xfId="17" applyFont="1" applyFill="1" applyBorder="1" applyAlignment="1">
      <alignment horizontal="center"/>
    </xf>
    <xf numFmtId="0" fontId="6" fillId="0" borderId="10" xfId="1" applyBorder="1"/>
    <xf numFmtId="0" fontId="6" fillId="0" borderId="7" xfId="1" applyBorder="1"/>
    <xf numFmtId="0" fontId="8" fillId="4" borderId="4" xfId="1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 wrapText="1"/>
    </xf>
    <xf numFmtId="0" fontId="8" fillId="4" borderId="6" xfId="1" applyFont="1" applyFill="1" applyBorder="1" applyAlignment="1">
      <alignment horizontal="center" wrapText="1"/>
    </xf>
    <xf numFmtId="0" fontId="52" fillId="4" borderId="7" xfId="17" applyFont="1" applyFill="1" applyBorder="1" applyAlignment="1">
      <alignment horizontal="center" wrapText="1"/>
    </xf>
    <xf numFmtId="0" fontId="37" fillId="0" borderId="7" xfId="17" applyFont="1" applyBorder="1" applyAlignment="1">
      <alignment horizontal="center" wrapText="1"/>
    </xf>
    <xf numFmtId="0" fontId="2" fillId="0" borderId="7" xfId="17" applyBorder="1"/>
    <xf numFmtId="0" fontId="42" fillId="5" borderId="6" xfId="17" applyFont="1" applyFill="1" applyBorder="1" applyAlignment="1">
      <alignment horizontal="center" wrapText="1"/>
    </xf>
    <xf numFmtId="0" fontId="43" fillId="5" borderId="10" xfId="17" applyFont="1" applyFill="1" applyBorder="1" applyAlignment="1">
      <alignment horizontal="center" wrapText="1"/>
    </xf>
    <xf numFmtId="0" fontId="43" fillId="5" borderId="7" xfId="17" applyFont="1" applyFill="1" applyBorder="1" applyAlignment="1">
      <alignment horizontal="center" wrapText="1"/>
    </xf>
    <xf numFmtId="0" fontId="8" fillId="6" borderId="4" xfId="1" applyFont="1" applyFill="1" applyBorder="1" applyAlignment="1">
      <alignment horizontal="center"/>
    </xf>
    <xf numFmtId="0" fontId="6" fillId="0" borderId="9" xfId="1" applyBorder="1" applyAlignment="1">
      <alignment horizontal="center"/>
    </xf>
    <xf numFmtId="0" fontId="6" fillId="0" borderId="2" xfId="1" applyBorder="1" applyAlignment="1">
      <alignment horizontal="center"/>
    </xf>
    <xf numFmtId="0" fontId="6" fillId="0" borderId="7" xfId="1" applyBorder="1" applyAlignment="1">
      <alignment horizontal="center" wrapText="1"/>
    </xf>
    <xf numFmtId="0" fontId="8" fillId="4" borderId="1" xfId="1" applyFont="1" applyFill="1" applyBorder="1"/>
    <xf numFmtId="0" fontId="8" fillId="4" borderId="3" xfId="1" applyFont="1" applyFill="1" applyBorder="1" applyAlignment="1">
      <alignment horizontal="center"/>
    </xf>
    <xf numFmtId="0" fontId="41" fillId="0" borderId="12" xfId="17" applyFont="1" applyBorder="1" applyAlignment="1">
      <alignment horizontal="center"/>
    </xf>
    <xf numFmtId="0" fontId="41" fillId="0" borderId="13" xfId="17" applyFont="1" applyBorder="1" applyAlignment="1">
      <alignment horizontal="center"/>
    </xf>
    <xf numFmtId="0" fontId="41" fillId="0" borderId="8" xfId="17" applyFont="1" applyBorder="1" applyAlignment="1">
      <alignment horizontal="center"/>
    </xf>
    <xf numFmtId="0" fontId="42" fillId="4" borderId="6" xfId="17" applyFont="1" applyFill="1" applyBorder="1" applyAlignment="1">
      <alignment horizontal="center" wrapText="1"/>
    </xf>
    <xf numFmtId="0" fontId="43" fillId="4" borderId="10" xfId="17" applyFont="1" applyFill="1" applyBorder="1" applyAlignment="1">
      <alignment horizontal="center" wrapText="1"/>
    </xf>
    <xf numFmtId="0" fontId="43" fillId="4" borderId="7" xfId="17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7" fillId="0" borderId="1" xfId="1" applyFont="1" applyBorder="1" applyAlignment="1">
      <alignment wrapText="1"/>
    </xf>
    <xf numFmtId="0" fontId="8" fillId="0" borderId="1" xfId="0" applyFont="1" applyBorder="1"/>
    <xf numFmtId="0" fontId="23" fillId="0" borderId="1" xfId="0" applyFont="1" applyBorder="1"/>
    <xf numFmtId="0" fontId="22" fillId="0" borderId="1" xfId="1" applyFont="1" applyBorder="1"/>
    <xf numFmtId="0" fontId="22" fillId="0" borderId="4" xfId="1" applyFont="1" applyBorder="1" applyAlignment="1">
      <alignment horizontal="center" wrapText="1"/>
    </xf>
    <xf numFmtId="0" fontId="22" fillId="0" borderId="9" xfId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3" fillId="0" borderId="9" xfId="1" applyFont="1" applyBorder="1" applyAlignment="1">
      <alignment wrapText="1"/>
    </xf>
    <xf numFmtId="0" fontId="23" fillId="0" borderId="9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1" fillId="0" borderId="1" xfId="1" applyFont="1" applyBorder="1"/>
    <xf numFmtId="0" fontId="21" fillId="6" borderId="1" xfId="1" applyFont="1" applyFill="1" applyBorder="1" applyAlignment="1">
      <alignment horizontal="center" wrapText="1"/>
    </xf>
    <xf numFmtId="0" fontId="44" fillId="5" borderId="1" xfId="17" applyFont="1" applyFill="1" applyBorder="1" applyAlignment="1">
      <alignment horizontal="center" wrapText="1"/>
    </xf>
    <xf numFmtId="0" fontId="2" fillId="5" borderId="1" xfId="17" applyFill="1" applyBorder="1" applyAlignment="1">
      <alignment horizontal="center" wrapText="1"/>
    </xf>
    <xf numFmtId="0" fontId="47" fillId="6" borderId="6" xfId="17" applyFont="1" applyFill="1" applyBorder="1" applyAlignment="1">
      <alignment horizontal="center"/>
    </xf>
    <xf numFmtId="0" fontId="47" fillId="0" borderId="7" xfId="17" applyFont="1" applyBorder="1" applyAlignment="1">
      <alignment horizontal="center"/>
    </xf>
    <xf numFmtId="0" fontId="47" fillId="6" borderId="4" xfId="17" applyFont="1" applyFill="1" applyBorder="1" applyAlignment="1">
      <alignment horizontal="center"/>
    </xf>
    <xf numFmtId="0" fontId="47" fillId="0" borderId="9" xfId="17" applyFont="1" applyBorder="1" applyAlignment="1">
      <alignment horizontal="center"/>
    </xf>
    <xf numFmtId="0" fontId="47" fillId="0" borderId="2" xfId="17" applyFont="1" applyBorder="1" applyAlignment="1">
      <alignment horizontal="center"/>
    </xf>
    <xf numFmtId="0" fontId="21" fillId="6" borderId="6" xfId="17" applyFont="1" applyFill="1" applyBorder="1" applyAlignment="1">
      <alignment horizontal="center"/>
    </xf>
    <xf numFmtId="0" fontId="21" fillId="0" borderId="7" xfId="17" applyFont="1" applyBorder="1" applyAlignment="1">
      <alignment horizontal="center"/>
    </xf>
    <xf numFmtId="0" fontId="47" fillId="6" borderId="1" xfId="17" applyFont="1" applyFill="1" applyBorder="1" applyAlignment="1">
      <alignment horizontal="center"/>
    </xf>
    <xf numFmtId="0" fontId="47" fillId="6" borderId="1" xfId="17" applyFont="1" applyFill="1" applyBorder="1" applyAlignment="1">
      <alignment horizontal="center" wrapText="1"/>
    </xf>
    <xf numFmtId="0" fontId="47" fillId="0" borderId="1" xfId="17" applyFont="1" applyBorder="1" applyAlignment="1">
      <alignment horizontal="center"/>
    </xf>
    <xf numFmtId="0" fontId="21" fillId="6" borderId="1" xfId="17" applyFont="1" applyFill="1" applyBorder="1" applyAlignment="1">
      <alignment horizontal="center"/>
    </xf>
    <xf numFmtId="0" fontId="21" fillId="0" borderId="1" xfId="17" applyFont="1" applyBorder="1" applyAlignment="1">
      <alignment horizontal="center"/>
    </xf>
    <xf numFmtId="0" fontId="44" fillId="0" borderId="9" xfId="17" applyFont="1" applyBorder="1"/>
    <xf numFmtId="0" fontId="44" fillId="0" borderId="2" xfId="17" applyFont="1" applyBorder="1"/>
    <xf numFmtId="0" fontId="2" fillId="0" borderId="2" xfId="17" applyBorder="1" applyAlignment="1">
      <alignment horizontal="center"/>
    </xf>
    <xf numFmtId="0" fontId="48" fillId="6" borderId="1" xfId="17" applyFont="1" applyFill="1" applyBorder="1" applyAlignment="1">
      <alignment horizontal="center"/>
    </xf>
    <xf numFmtId="0" fontId="41" fillId="6" borderId="1" xfId="17" applyFont="1" applyFill="1" applyBorder="1" applyAlignment="1">
      <alignment horizontal="center"/>
    </xf>
    <xf numFmtId="0" fontId="46" fillId="0" borderId="1" xfId="17" applyFont="1" applyBorder="1"/>
    <xf numFmtId="0" fontId="2" fillId="0" borderId="1" xfId="17" applyBorder="1"/>
    <xf numFmtId="0" fontId="46" fillId="6" borderId="1" xfId="17" applyFont="1" applyFill="1" applyBorder="1" applyAlignment="1">
      <alignment horizontal="center"/>
    </xf>
    <xf numFmtId="0" fontId="46" fillId="6" borderId="1" xfId="17" applyFont="1" applyFill="1" applyBorder="1" applyAlignment="1">
      <alignment horizontal="center" wrapText="1"/>
    </xf>
    <xf numFmtId="0" fontId="53" fillId="0" borderId="0" xfId="0" applyFont="1"/>
    <xf numFmtId="9" fontId="53" fillId="0" borderId="0" xfId="11" applyFont="1"/>
  </cellXfs>
  <cellStyles count="18">
    <cellStyle name="Normaallaad 2" xfId="12" xr:uid="{00000000-0005-0000-0000-000001000000}"/>
    <cellStyle name="Normaallaad 3" xfId="13" xr:uid="{AD5C852B-A315-4A02-A4E7-CFEC60C0273A}"/>
    <cellStyle name="Normaallaad 4" xfId="15" xr:uid="{C135185B-0A35-4FD6-9FE3-4D1603A806F3}"/>
    <cellStyle name="Normal" xfId="0" builtinId="0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3" xfId="4" xr:uid="{00000000-0005-0000-0000-000005000000}"/>
    <cellStyle name="Normal 3 2" xfId="5" xr:uid="{00000000-0005-0000-0000-000006000000}"/>
    <cellStyle name="Normal 3 3" xfId="8" xr:uid="{00000000-0005-0000-0000-000007000000}"/>
    <cellStyle name="Normal 4" xfId="7" xr:uid="{00000000-0005-0000-0000-000008000000}"/>
    <cellStyle name="Normal 5" xfId="10" xr:uid="{00000000-0005-0000-0000-000009000000}"/>
    <cellStyle name="Normal 6" xfId="6" xr:uid="{00000000-0005-0000-0000-00000A000000}"/>
    <cellStyle name="Normal 7" xfId="17" xr:uid="{A4BBCAFE-A008-43C6-98E8-7313C8E842E3}"/>
    <cellStyle name="Percent" xfId="11" builtinId="5"/>
    <cellStyle name="Percent 2" xfId="9" xr:uid="{00000000-0005-0000-0000-00000C000000}"/>
    <cellStyle name="Protsent 2" xfId="14" xr:uid="{AEE26C9C-E5A6-4D21-9E7B-63F57DCFAC28}"/>
    <cellStyle name="Protsent 3" xfId="16" xr:uid="{0EC13371-4195-41AB-9B79-38487B8AD2A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2963482402705"/>
          <c:y val="0.14738041033995419"/>
          <c:w val="0.49676388461565824"/>
          <c:h val="0.797193202308597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C71-4073-9E92-80F78675EF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C71-4073-9E92-80F78675EF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C71-4073-9E92-80F78675EF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C71-4073-9E92-80F78675EF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C71-4073-9E92-80F78675EF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C71-4073-9E92-80F78675EF8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E774-4380-B504-6F0FB18BE761}"/>
              </c:ext>
            </c:extLst>
          </c:dPt>
          <c:dLbls>
            <c:dLbl>
              <c:idx val="0"/>
              <c:layout>
                <c:manualLayout>
                  <c:x val="0.10345768522141578"/>
                  <c:y val="-9.18379812805323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1-4073-9E92-80F78675EF8F}"/>
                </c:ext>
              </c:extLst>
            </c:dLbl>
            <c:dLbl>
              <c:idx val="1"/>
              <c:layout>
                <c:manualLayout>
                  <c:x val="1.3888888888888666E-3"/>
                  <c:y val="0.148148148148148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44444444444444"/>
                      <c:h val="0.23990740740740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C71-4073-9E92-80F78675EF8F}"/>
                </c:ext>
              </c:extLst>
            </c:dLbl>
            <c:dLbl>
              <c:idx val="2"/>
              <c:layout>
                <c:manualLayout>
                  <c:x val="-0.10555555555555557"/>
                  <c:y val="9.25925925925925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71-4073-9E92-80F78675EF8F}"/>
                </c:ext>
              </c:extLst>
            </c:dLbl>
            <c:dLbl>
              <c:idx val="3"/>
              <c:layout>
                <c:manualLayout>
                  <c:x val="-0.10833333333333335"/>
                  <c:y val="-0.1157407407407407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C71-4073-9E92-80F78675EF8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0C71-4073-9E92-80F78675EF8F}"/>
                </c:ext>
              </c:extLst>
            </c:dLbl>
            <c:dLbl>
              <c:idx val="5"/>
              <c:layout>
                <c:manualLayout>
                  <c:x val="0.14072525009895664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6989903375533"/>
                      <c:h val="0.126094529960943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C71-4073-9E92-80F78675EF8F}"/>
                </c:ext>
              </c:extLst>
            </c:dLbl>
            <c:dLbl>
              <c:idx val="6"/>
              <c:layout>
                <c:manualLayout>
                  <c:x val="0.24242449483472706"/>
                  <c:y val="-4.0524141351787774E-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t-E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74-4380-B504-6F0FB18BE76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Üldharidus!$B$97:$B$103</c:f>
              <c:strCache>
                <c:ptCount val="7"/>
                <c:pt idx="0">
                  <c:v>Õpetajate tööjõukulu</c:v>
                </c:pt>
                <c:pt idx="1">
                  <c:v>Direktorite ja õppealajuhatajate tööjõukulu</c:v>
                </c:pt>
                <c:pt idx="2">
                  <c:v>Täiendus-koolitus</c:v>
                </c:pt>
                <c:pt idx="3">
                  <c:v>Õppekirjandus</c:v>
                </c:pt>
                <c:pt idx="4">
                  <c:v>Koolilõuna</c:v>
                </c:pt>
                <c:pt idx="5">
                  <c:v>Tõhustatud ja eritoe tegevuskulu</c:v>
                </c:pt>
                <c:pt idx="6">
                  <c:v>Kultuuriranits</c:v>
                </c:pt>
              </c:strCache>
            </c:strRef>
          </c:cat>
          <c:val>
            <c:numRef>
              <c:f>Üldharidus!$C$97:$C$103</c:f>
              <c:numCache>
                <c:formatCode>#,##0</c:formatCode>
                <c:ptCount val="7"/>
                <c:pt idx="0">
                  <c:v>416867643</c:v>
                </c:pt>
                <c:pt idx="1">
                  <c:v>15491207</c:v>
                </c:pt>
                <c:pt idx="2">
                  <c:v>1996044</c:v>
                </c:pt>
                <c:pt idx="3">
                  <c:v>8193556</c:v>
                </c:pt>
                <c:pt idx="4">
                  <c:v>24351075</c:v>
                </c:pt>
                <c:pt idx="5">
                  <c:v>26474875</c:v>
                </c:pt>
                <c:pt idx="6">
                  <c:v>1379904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C71-4073-9E92-80F78675EF8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99066</xdr:colOff>
      <xdr:row>87</xdr:row>
      <xdr:rowOff>40004</xdr:rowOff>
    </xdr:from>
    <xdr:to>
      <xdr:col>19</xdr:col>
      <xdr:colOff>241935</xdr:colOff>
      <xdr:row>106</xdr:row>
      <xdr:rowOff>11429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us Jõgi" id="{9497A672-A7C4-4E0A-9903-E80EE99EEA6F}" userId="S::Andrus.Jogi@fin.ee::0d1f808d-8e7c-41dd-b8c6-8ecd6d0697dd" providerId="AD"/>
  <person displayName="Andrus Jõgi" id="{0CCE61DD-D1A0-4C55-9B0C-2A57A86B55DF}" userId="S::Andrus.Jogi@agri.ee::f0691c52-96f8-45bd-897a-9ac4e9f07549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3" dT="2022-11-15T11:57:00.90" personId="{9497A672-A7C4-4E0A-9903-E80EE99EEA6F}" id="{EB71E415-EBD0-4497-8D77-1974D9AB53B1}">
    <text>Sh KÕP tervislikel põhjustel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2-02-16T12:27:55.53" personId="{9497A672-A7C4-4E0A-9903-E80EE99EEA6F}" id="{DFFDEF60-F0B6-428D-A6F1-8F8259BB2EFA}">
    <text>Neid teid rahastatakse erikorras</text>
  </threadedComment>
  <threadedComment ref="H1" dT="2022-02-16T12:27:55.53" personId="{9497A672-A7C4-4E0A-9903-E80EE99EEA6F}" id="{6ED88A23-AE99-48BA-8472-D487626D3579}">
    <text>Neid teid rahastatakse erikorras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B1" dT="2023-09-01T09:34:20.41" personId="{0CCE61DD-D1A0-4C55-9B0C-2A57A86B55DF}" id="{4F3BC98C-F222-4A5F-AE7F-A3107A8DE713}">
    <text>2024.a 100%, seejärel väheneb 15 protsendipunkti kaupa algsest summast.</text>
  </threadedComment>
  <threadedComment ref="W2" dT="2024-01-11T14:23:09.40" personId="{0CCE61DD-D1A0-4C55-9B0C-2A57A86B55DF}" id="{7AF8783B-717B-42EC-A41D-E2B52E273BA4}">
    <text>SHS § 45'5 lõike 3 punkti 1 alusel asendus- ja järelhooldusel viibivad isikud</text>
  </threadedComment>
  <threadedComment ref="X2" dT="2024-01-11T14:23:57.29" personId="{0CCE61DD-D1A0-4C55-9B0C-2A57A86B55DF}" id="{E3CFFF83-8BB1-406A-98E8-74196D99AE6C}">
    <text>SHS § 45'16 lõigete 1 ja 1'1 alusel asendus- ja järelhooldusel viibivad isikud</text>
  </threadedComment>
  <threadedComment ref="AN104" dT="2021-11-30T07:46:23.23" personId="{9497A672-A7C4-4E0A-9903-E80EE99EEA6F}" id="{4763CA00-542F-4B4B-8D65-CB888D986C1F}">
    <text>2022.a-st 4,5 (enne 2,5)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89" dT="2023-08-31T13:50:16.33" personId="{0CCE61DD-D1A0-4C55-9B0C-2A57A86B55DF}" id="{889F0FD8-B6FB-4DD3-B930-67CBA5D7A968}">
    <text>eelarves</text>
  </threadedComment>
  <threadedComment ref="G92" dT="2023-08-31T13:42:41.90" personId="{0CCE61DD-D1A0-4C55-9B0C-2A57A86B55DF}" id="{1BC83431-9E54-4864-86D7-8D3815F05CD8}">
    <text>11 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1"/>
  <sheetViews>
    <sheetView workbookViewId="0">
      <pane xSplit="2" ySplit="3" topLeftCell="AP66" activePane="bottomRight" state="frozen"/>
      <selection pane="topRight" activeCell="C1" sqref="C1"/>
      <selection pane="bottomLeft" activeCell="A4" sqref="A4"/>
      <selection pane="bottomRight" activeCell="AX89" sqref="AX89"/>
    </sheetView>
  </sheetViews>
  <sheetFormatPr defaultRowHeight="12.75" x14ac:dyDescent="0.2"/>
  <cols>
    <col min="1" max="1" width="9.5703125" bestFit="1" customWidth="1"/>
    <col min="2" max="2" width="19.7109375" customWidth="1"/>
    <col min="3" max="3" width="11.28515625" bestFit="1" customWidth="1"/>
    <col min="4" max="4" width="6.5703125" bestFit="1" customWidth="1"/>
    <col min="5" max="5" width="8.7109375" customWidth="1"/>
    <col min="6" max="6" width="6.28515625" bestFit="1" customWidth="1"/>
    <col min="7" max="7" width="5.5703125" bestFit="1" customWidth="1"/>
    <col min="8" max="8" width="5.28515625" bestFit="1" customWidth="1"/>
    <col min="9" max="9" width="3" bestFit="1" customWidth="1"/>
    <col min="10" max="10" width="5.5703125" customWidth="1"/>
    <col min="11" max="12" width="13.5703125" customWidth="1"/>
    <col min="13" max="13" width="5.42578125" bestFit="1" customWidth="1"/>
    <col min="14" max="14" width="7.5703125" bestFit="1" customWidth="1"/>
    <col min="15" max="15" width="7.42578125" customWidth="1"/>
    <col min="16" max="16" width="10.42578125" customWidth="1"/>
    <col min="17" max="17" width="5.5703125" bestFit="1" customWidth="1"/>
    <col min="18" max="18" width="7.5703125" bestFit="1" customWidth="1"/>
    <col min="19" max="19" width="7.42578125" customWidth="1"/>
    <col min="20" max="21" width="10" customWidth="1"/>
    <col min="22" max="23" width="10.5703125" customWidth="1"/>
    <col min="24" max="24" width="6.7109375" bestFit="1" customWidth="1"/>
    <col min="25" max="25" width="10.5703125" customWidth="1"/>
    <col min="26" max="27" width="11.42578125" customWidth="1"/>
    <col min="28" max="28" width="10.42578125" customWidth="1"/>
    <col min="29" max="29" width="11.28515625" bestFit="1" customWidth="1"/>
    <col min="30" max="30" width="10.28515625" bestFit="1" customWidth="1"/>
    <col min="31" max="32" width="9.42578125" customWidth="1"/>
    <col min="33" max="33" width="11.42578125" customWidth="1"/>
    <col min="34" max="35" width="3.5703125" customWidth="1"/>
    <col min="36" max="36" width="11.28515625" bestFit="1" customWidth="1"/>
    <col min="37" max="37" width="10.42578125" customWidth="1"/>
    <col min="38" max="38" width="10.28515625" bestFit="1" customWidth="1"/>
    <col min="39" max="39" width="7.5703125" bestFit="1" customWidth="1"/>
    <col min="40" max="41" width="9.28515625" customWidth="1"/>
    <col min="42" max="42" width="12.42578125" customWidth="1"/>
    <col min="43" max="43" width="10.28515625" bestFit="1" customWidth="1"/>
    <col min="44" max="44" width="12.7109375" customWidth="1"/>
    <col min="45" max="45" width="9.7109375" customWidth="1"/>
    <col min="46" max="46" width="10.28515625" customWidth="1"/>
    <col min="47" max="47" width="11.42578125" customWidth="1"/>
    <col min="48" max="48" width="13.5703125" customWidth="1"/>
    <col min="49" max="49" width="9.7109375" customWidth="1"/>
    <col min="50" max="50" width="11" customWidth="1"/>
    <col min="51" max="51" width="11.28515625" bestFit="1" customWidth="1"/>
    <col min="52" max="52" width="10.28515625" bestFit="1" customWidth="1"/>
    <col min="53" max="53" width="10.28515625" customWidth="1"/>
    <col min="54" max="54" width="10" customWidth="1"/>
    <col min="55" max="55" width="9.28515625" customWidth="1"/>
    <col min="60" max="60" width="7.5703125" bestFit="1" customWidth="1"/>
    <col min="61" max="61" width="6.5703125" bestFit="1" customWidth="1"/>
    <col min="62" max="62" width="8.7109375" customWidth="1"/>
    <col min="63" max="63" width="11.28515625" bestFit="1" customWidth="1"/>
    <col min="64" max="64" width="10.28515625" bestFit="1" customWidth="1"/>
    <col min="65" max="65" width="8.5703125" customWidth="1"/>
    <col min="66" max="66" width="8.7109375" customWidth="1"/>
    <col min="67" max="67" width="12.42578125" customWidth="1"/>
    <col min="68" max="69" width="10.28515625" bestFit="1" customWidth="1"/>
  </cols>
  <sheetData>
    <row r="1" spans="1:58" ht="12.75" customHeight="1" x14ac:dyDescent="0.2">
      <c r="A1" s="189" t="s">
        <v>148</v>
      </c>
      <c r="B1" s="189" t="s">
        <v>147</v>
      </c>
      <c r="C1" s="193" t="s">
        <v>216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5" t="s">
        <v>257</v>
      </c>
      <c r="Z1" s="88"/>
      <c r="AA1" s="88"/>
      <c r="AB1" s="187" t="s">
        <v>239</v>
      </c>
      <c r="AC1" s="198"/>
      <c r="AD1" s="198"/>
      <c r="AE1" s="198"/>
      <c r="AF1" s="198"/>
      <c r="AG1" s="198"/>
      <c r="AH1" s="198"/>
      <c r="AI1" s="198"/>
      <c r="AJ1" s="198"/>
      <c r="AK1" s="204" t="s">
        <v>267</v>
      </c>
      <c r="AL1" s="205"/>
      <c r="AM1" s="205"/>
      <c r="AN1" s="205"/>
      <c r="AO1" s="205"/>
      <c r="AP1" s="205"/>
      <c r="AQ1" s="206"/>
      <c r="AR1" s="183" t="s">
        <v>270</v>
      </c>
      <c r="AS1" s="183" t="s">
        <v>269</v>
      </c>
      <c r="AT1" s="183" t="s">
        <v>268</v>
      </c>
      <c r="AU1" s="183" t="s">
        <v>236</v>
      </c>
      <c r="AV1" s="183" t="s">
        <v>271</v>
      </c>
      <c r="AW1" s="183" t="s">
        <v>352</v>
      </c>
      <c r="AX1" s="183" t="s">
        <v>391</v>
      </c>
      <c r="AY1" s="203" t="s">
        <v>368</v>
      </c>
      <c r="AZ1" s="203" t="s">
        <v>166</v>
      </c>
      <c r="BB1" s="189" t="s">
        <v>258</v>
      </c>
      <c r="BC1" s="189" t="s">
        <v>259</v>
      </c>
    </row>
    <row r="2" spans="1:58" ht="12.75" customHeight="1" x14ac:dyDescent="0.2">
      <c r="A2" s="189"/>
      <c r="B2" s="189"/>
      <c r="C2" s="189" t="s">
        <v>242</v>
      </c>
      <c r="D2" s="190"/>
      <c r="E2" s="189" t="s">
        <v>246</v>
      </c>
      <c r="F2" s="190"/>
      <c r="G2" s="189" t="s">
        <v>247</v>
      </c>
      <c r="H2" s="189"/>
      <c r="I2" s="190"/>
      <c r="J2" s="190"/>
      <c r="K2" s="200" t="s">
        <v>311</v>
      </c>
      <c r="L2" s="201"/>
      <c r="M2" s="189" t="s">
        <v>250</v>
      </c>
      <c r="N2" s="190"/>
      <c r="O2" s="190"/>
      <c r="P2" s="190"/>
      <c r="Q2" s="189" t="s">
        <v>252</v>
      </c>
      <c r="R2" s="190"/>
      <c r="S2" s="190"/>
      <c r="T2" s="190"/>
      <c r="U2" s="180" t="s">
        <v>149</v>
      </c>
      <c r="V2" s="180" t="s">
        <v>262</v>
      </c>
      <c r="W2" s="192"/>
      <c r="X2" s="192"/>
      <c r="Y2" s="196"/>
      <c r="Z2" s="181" t="s">
        <v>367</v>
      </c>
      <c r="AA2" s="181" t="s">
        <v>390</v>
      </c>
      <c r="AB2" s="191" t="s">
        <v>240</v>
      </c>
      <c r="AC2" s="199"/>
      <c r="AD2" s="191" t="s">
        <v>248</v>
      </c>
      <c r="AE2" s="180" t="s">
        <v>249</v>
      </c>
      <c r="AF2" s="180" t="s">
        <v>254</v>
      </c>
      <c r="AG2" s="180" t="s">
        <v>266</v>
      </c>
      <c r="AH2" s="186"/>
      <c r="AI2" s="186"/>
      <c r="AJ2" s="187" t="s">
        <v>149</v>
      </c>
      <c r="AK2" s="207" t="s">
        <v>240</v>
      </c>
      <c r="AL2" s="208"/>
      <c r="AM2" s="191" t="s">
        <v>248</v>
      </c>
      <c r="AN2" s="180" t="s">
        <v>254</v>
      </c>
      <c r="AO2" s="180" t="s">
        <v>255</v>
      </c>
      <c r="AP2" s="180" t="s">
        <v>278</v>
      </c>
      <c r="AQ2" s="187" t="s">
        <v>149</v>
      </c>
      <c r="AR2" s="184"/>
      <c r="AS2" s="184"/>
      <c r="AT2" s="184"/>
      <c r="AU2" s="184"/>
      <c r="AV2" s="184"/>
      <c r="AW2" s="184"/>
      <c r="AX2" s="184"/>
      <c r="AY2" s="184"/>
      <c r="AZ2" s="184"/>
      <c r="BB2" s="202"/>
      <c r="BC2" s="202"/>
      <c r="BE2" t="s">
        <v>313</v>
      </c>
    </row>
    <row r="3" spans="1:58" ht="25.5" x14ac:dyDescent="0.2">
      <c r="A3" s="189"/>
      <c r="B3" s="189"/>
      <c r="C3" s="85" t="s">
        <v>243</v>
      </c>
      <c r="D3" s="85" t="s">
        <v>244</v>
      </c>
      <c r="E3" s="85" t="s">
        <v>243</v>
      </c>
      <c r="F3" s="85" t="s">
        <v>244</v>
      </c>
      <c r="G3" s="85" t="s">
        <v>243</v>
      </c>
      <c r="H3" s="85" t="s">
        <v>260</v>
      </c>
      <c r="I3" s="85" t="s">
        <v>244</v>
      </c>
      <c r="J3" s="85" t="s">
        <v>261</v>
      </c>
      <c r="K3" s="85" t="s">
        <v>243</v>
      </c>
      <c r="L3" s="85" t="s">
        <v>346</v>
      </c>
      <c r="M3" s="85" t="s">
        <v>242</v>
      </c>
      <c r="N3" s="85" t="s">
        <v>251</v>
      </c>
      <c r="O3" s="85" t="s">
        <v>256</v>
      </c>
      <c r="P3" s="87" t="s">
        <v>253</v>
      </c>
      <c r="Q3" s="85" t="s">
        <v>242</v>
      </c>
      <c r="R3" s="85" t="s">
        <v>251</v>
      </c>
      <c r="S3" s="85" t="s">
        <v>256</v>
      </c>
      <c r="T3" s="87" t="s">
        <v>253</v>
      </c>
      <c r="U3" s="180"/>
      <c r="V3" s="95" t="s">
        <v>263</v>
      </c>
      <c r="W3" s="95" t="s">
        <v>264</v>
      </c>
      <c r="X3" s="95" t="s">
        <v>265</v>
      </c>
      <c r="Y3" s="197"/>
      <c r="Z3" s="182"/>
      <c r="AA3" s="182"/>
      <c r="AB3" s="85" t="s">
        <v>245</v>
      </c>
      <c r="AC3" s="85" t="s">
        <v>241</v>
      </c>
      <c r="AD3" s="191"/>
      <c r="AE3" s="180"/>
      <c r="AF3" s="180"/>
      <c r="AG3" s="180"/>
      <c r="AH3" s="186"/>
      <c r="AI3" s="186"/>
      <c r="AJ3" s="188"/>
      <c r="AK3" s="85" t="s">
        <v>293</v>
      </c>
      <c r="AL3" s="85" t="s">
        <v>241</v>
      </c>
      <c r="AM3" s="191"/>
      <c r="AN3" s="180"/>
      <c r="AO3" s="180"/>
      <c r="AP3" s="180"/>
      <c r="AQ3" s="188"/>
      <c r="AR3" s="185"/>
      <c r="AS3" s="185"/>
      <c r="AT3" s="185"/>
      <c r="AU3" s="185"/>
      <c r="AV3" s="185"/>
      <c r="AW3" s="185"/>
      <c r="AX3" s="185"/>
      <c r="AY3" s="185"/>
      <c r="AZ3" s="185"/>
      <c r="BB3" s="202"/>
      <c r="BC3" s="202"/>
      <c r="BE3" s="63" t="s">
        <v>216</v>
      </c>
      <c r="BF3" s="63" t="s">
        <v>312</v>
      </c>
    </row>
    <row r="4" spans="1:58" ht="15" x14ac:dyDescent="0.2">
      <c r="A4" s="20" t="s">
        <v>69</v>
      </c>
      <c r="B4" s="21" t="s">
        <v>138</v>
      </c>
      <c r="C4" s="45">
        <v>538</v>
      </c>
      <c r="D4" s="45">
        <v>80</v>
      </c>
      <c r="E4" s="45">
        <v>28</v>
      </c>
      <c r="F4" s="45">
        <v>0</v>
      </c>
      <c r="G4" s="45">
        <v>10</v>
      </c>
      <c r="H4" s="45">
        <v>0</v>
      </c>
      <c r="I4" s="45">
        <v>0</v>
      </c>
      <c r="J4" s="45"/>
      <c r="K4" s="45">
        <v>0</v>
      </c>
      <c r="L4" s="21"/>
      <c r="M4" s="45">
        <v>0</v>
      </c>
      <c r="N4" s="21">
        <v>0</v>
      </c>
      <c r="O4" s="45"/>
      <c r="P4" s="45"/>
      <c r="Q4" s="45">
        <v>0</v>
      </c>
      <c r="R4" s="45">
        <v>0</v>
      </c>
      <c r="S4" s="45">
        <v>0</v>
      </c>
      <c r="T4" s="45">
        <v>0</v>
      </c>
      <c r="U4" s="45">
        <f>SUM(C4:T4)-P4-T4</f>
        <v>656</v>
      </c>
      <c r="V4" s="45">
        <v>0</v>
      </c>
      <c r="W4" s="45">
        <v>0</v>
      </c>
      <c r="X4" s="45">
        <v>0</v>
      </c>
      <c r="Y4" s="48">
        <f t="shared" ref="Y4:Y35" si="0">IF(AND(D4&lt;251,D4&gt;=43),VLOOKUP(D4,BE$4:BF$211,2,FALSE)-1,0)</f>
        <v>8.6000000000000076E-2</v>
      </c>
      <c r="Z4" s="45">
        <v>3244</v>
      </c>
      <c r="AA4" s="45">
        <f t="shared" ref="AA4:AA35" si="1">ROUND((SUM(AC4:AG4)+AQ4)/U4,0)</f>
        <v>3531</v>
      </c>
      <c r="AB4" s="48">
        <v>1.4690000000000001</v>
      </c>
      <c r="AC4" s="45">
        <f t="shared" ref="AC4:AC35" si="2">ROUND(C4*AB4*C$88,0)</f>
        <v>1847773</v>
      </c>
      <c r="AD4" s="62">
        <f t="shared" ref="AD4:AD35" si="3">ROUND((E4*E$84+G4*G$84+H4*H$84)*C$88,0)</f>
        <v>224448</v>
      </c>
      <c r="AE4" s="45">
        <f t="shared" ref="AE4:AE35" si="4">ROUND(K4*K$84*C$88,0)</f>
        <v>0</v>
      </c>
      <c r="AF4" s="45">
        <f t="shared" ref="AF4:AF35" si="5">ROUND((M4*M$84+N4*N$84+P4*P$84)*C$88,0)</f>
        <v>0</v>
      </c>
      <c r="AG4" s="45"/>
      <c r="AH4" s="45"/>
      <c r="AI4" s="45"/>
      <c r="AJ4" s="14">
        <f t="shared" ref="AJ4:AJ35" si="6">SUM(AC4:AI4)</f>
        <v>2072221</v>
      </c>
      <c r="AK4" s="21">
        <f t="shared" ref="AK4:AK35" si="7">IF(D4&lt;400,1.12,IF(D4&lt;=500,1.06,1))</f>
        <v>1.1200000000000001</v>
      </c>
      <c r="AL4" s="45">
        <f>ROUND((D4+L4)*AK4*C$88,0)</f>
        <v>209485</v>
      </c>
      <c r="AM4" s="14">
        <f t="shared" ref="AM4:AM35" si="8">ROUND((F4*F$84+I4*I$84+J4*J$84)*C$88,0)</f>
        <v>0</v>
      </c>
      <c r="AN4" s="14">
        <f t="shared" ref="AN4:AN35" si="9">ROUND((Q4*Q$84)*C$88,0)+ROUND((T4*T$84)*C$88,0)+ROUND((R4*R$84)*C$88,0)</f>
        <v>0</v>
      </c>
      <c r="AO4" s="14">
        <f t="shared" ref="AO4:AO35" si="10">ROUND(D4*Y4*C$88,0)</f>
        <v>16085</v>
      </c>
      <c r="AP4" s="14">
        <f>ROUND(D4*C$88*AP$84,0)</f>
        <v>18704</v>
      </c>
      <c r="AQ4" s="14">
        <f>SUM(AL4:AP4)</f>
        <v>244274</v>
      </c>
      <c r="AR4" s="14">
        <f>ROUND(MAX(U4*C$89,BB4),0)</f>
        <v>71164</v>
      </c>
      <c r="AS4" s="14">
        <f>ROUND(MAX(U4*C$90,BC4),0)</f>
        <v>9598</v>
      </c>
      <c r="AT4" s="14">
        <f>ROUND((SUM(C4:J4)+K4+L4+M4+SUM(N4:O4)/5+Q4+SUM(R4:S4)/5)*C$91,0)</f>
        <v>37392</v>
      </c>
      <c r="AU4" s="14">
        <f t="shared" ref="AU4:AU35" si="11">ROUND((C4+D4+E4+F4+G4+I4)*C$92,0)</f>
        <v>114800</v>
      </c>
      <c r="AV4" s="14">
        <f t="shared" ref="AV4:AV35" si="12">ROUND((E4*E$85+F4*F$85+G4*G$85+H4*H$85+I4*I$85+J4*J$85)*C$93,0)+ROUND((V4*V$85)*C$93,0)+ROUND((W4*W$85+X4*X$85)*C$93,0)</f>
        <v>83232</v>
      </c>
      <c r="AW4" s="14">
        <f t="shared" ref="AW4:AW35" si="13">ROUND((C4+E4+G4+H4+K4)*AB4*C$94,0)</f>
        <v>8211</v>
      </c>
      <c r="AX4" s="14">
        <f t="shared" ref="AX4:AX35" si="14">AJ4+AQ4+AR4+AS4+AT4+AU4+AV4+AW4</f>
        <v>2640892</v>
      </c>
      <c r="AY4" s="14">
        <v>2435113</v>
      </c>
      <c r="AZ4" s="14">
        <f t="shared" ref="AZ4:AZ35" si="15">AX4-AY4</f>
        <v>205779</v>
      </c>
      <c r="BA4" s="2"/>
      <c r="BB4" s="14">
        <v>71164</v>
      </c>
      <c r="BC4" s="14">
        <v>9598</v>
      </c>
      <c r="BD4" s="2"/>
      <c r="BE4" s="64">
        <v>43</v>
      </c>
      <c r="BF4" s="64">
        <v>1.0069999999999999</v>
      </c>
    </row>
    <row r="5" spans="1:58" ht="15" x14ac:dyDescent="0.2">
      <c r="A5" s="20" t="s">
        <v>69</v>
      </c>
      <c r="B5" s="21" t="s">
        <v>137</v>
      </c>
      <c r="C5" s="45">
        <v>1835</v>
      </c>
      <c r="D5" s="45">
        <v>0</v>
      </c>
      <c r="E5" s="45">
        <v>82</v>
      </c>
      <c r="F5" s="45">
        <v>0</v>
      </c>
      <c r="G5" s="45">
        <v>16</v>
      </c>
      <c r="H5" s="45">
        <v>0</v>
      </c>
      <c r="I5" s="45">
        <v>0</v>
      </c>
      <c r="J5" s="45"/>
      <c r="K5" s="45">
        <v>5</v>
      </c>
      <c r="L5" s="21"/>
      <c r="M5" s="45">
        <v>0</v>
      </c>
      <c r="N5" s="21">
        <v>0</v>
      </c>
      <c r="O5" s="45"/>
      <c r="P5" s="45"/>
      <c r="Q5" s="45">
        <v>0</v>
      </c>
      <c r="R5" s="45">
        <v>0</v>
      </c>
      <c r="S5" s="45">
        <v>0</v>
      </c>
      <c r="T5" s="45">
        <v>0</v>
      </c>
      <c r="U5" s="45">
        <f t="shared" ref="U5:U68" si="16">SUM(C5:T5)-P5-T5</f>
        <v>1938</v>
      </c>
      <c r="V5" s="45">
        <v>0</v>
      </c>
      <c r="W5" s="45">
        <v>0</v>
      </c>
      <c r="X5" s="45">
        <v>0</v>
      </c>
      <c r="Y5" s="48">
        <f t="shared" si="0"/>
        <v>0</v>
      </c>
      <c r="Z5" s="45">
        <v>2313</v>
      </c>
      <c r="AA5" s="45">
        <f t="shared" si="1"/>
        <v>2492</v>
      </c>
      <c r="AB5" s="48">
        <v>1</v>
      </c>
      <c r="AC5" s="45">
        <f t="shared" si="2"/>
        <v>4290230</v>
      </c>
      <c r="AD5" s="62">
        <f t="shared" si="3"/>
        <v>533064</v>
      </c>
      <c r="AE5" s="45">
        <f t="shared" si="4"/>
        <v>6196</v>
      </c>
      <c r="AF5" s="45">
        <f t="shared" si="5"/>
        <v>0</v>
      </c>
      <c r="AG5" s="45"/>
      <c r="AH5" s="45"/>
      <c r="AI5" s="45"/>
      <c r="AJ5" s="14">
        <f t="shared" si="6"/>
        <v>4829490</v>
      </c>
      <c r="AK5" s="21">
        <f t="shared" si="7"/>
        <v>1.1200000000000001</v>
      </c>
      <c r="AL5" s="45">
        <f t="shared" ref="AL5:AL68" si="17">ROUND((D5+L5)*AK5*C$88,0)</f>
        <v>0</v>
      </c>
      <c r="AM5" s="14">
        <f t="shared" si="8"/>
        <v>0</v>
      </c>
      <c r="AN5" s="14">
        <f t="shared" si="9"/>
        <v>0</v>
      </c>
      <c r="AO5" s="14">
        <f t="shared" si="10"/>
        <v>0</v>
      </c>
      <c r="AP5" s="14"/>
      <c r="AQ5" s="14">
        <f t="shared" ref="AQ5:AQ68" si="18">SUM(AL5:AP5)</f>
        <v>0</v>
      </c>
      <c r="AR5" s="14">
        <f t="shared" ref="AR5:AR36" si="19">MAX(U5*C$89,BB5)</f>
        <v>178296</v>
      </c>
      <c r="AS5" s="14">
        <f t="shared" ref="AS5:AS36" si="20">MAX(U5*C$90,BC5)</f>
        <v>23256</v>
      </c>
      <c r="AT5" s="14">
        <f t="shared" ref="AT5:AT68" si="21">ROUND((SUM(C5:J5)+K5+L5+M5+SUM(N5:O5)/5+Q5+SUM(R5:S5)/5)*C$91,0)</f>
        <v>110466</v>
      </c>
      <c r="AU5" s="14">
        <f t="shared" si="11"/>
        <v>338275</v>
      </c>
      <c r="AV5" s="14">
        <f t="shared" si="12"/>
        <v>178704</v>
      </c>
      <c r="AW5" s="14">
        <f t="shared" si="13"/>
        <v>18807</v>
      </c>
      <c r="AX5" s="14">
        <f t="shared" si="14"/>
        <v>5677294</v>
      </c>
      <c r="AY5" s="14">
        <v>5133018</v>
      </c>
      <c r="AZ5" s="14">
        <f t="shared" si="15"/>
        <v>544276</v>
      </c>
      <c r="BA5" s="2"/>
      <c r="BB5" s="14">
        <v>108839</v>
      </c>
      <c r="BC5" s="14">
        <v>14128</v>
      </c>
      <c r="BD5" s="2"/>
      <c r="BE5" s="64">
        <v>44</v>
      </c>
      <c r="BF5" s="64">
        <v>1.02</v>
      </c>
    </row>
    <row r="6" spans="1:58" ht="15" x14ac:dyDescent="0.2">
      <c r="A6" s="20" t="s">
        <v>69</v>
      </c>
      <c r="B6" s="21" t="s">
        <v>136</v>
      </c>
      <c r="C6" s="45">
        <v>749</v>
      </c>
      <c r="D6" s="45">
        <v>95</v>
      </c>
      <c r="E6" s="45">
        <v>41</v>
      </c>
      <c r="F6" s="45">
        <v>0</v>
      </c>
      <c r="G6" s="45">
        <v>11</v>
      </c>
      <c r="H6" s="45">
        <v>1</v>
      </c>
      <c r="I6" s="45">
        <v>0</v>
      </c>
      <c r="J6" s="45"/>
      <c r="K6" s="45">
        <v>1</v>
      </c>
      <c r="L6" s="21"/>
      <c r="M6" s="45">
        <v>0</v>
      </c>
      <c r="N6" s="21">
        <v>0</v>
      </c>
      <c r="O6" s="45"/>
      <c r="P6" s="45"/>
      <c r="Q6" s="45">
        <v>0</v>
      </c>
      <c r="R6" s="45">
        <v>0</v>
      </c>
      <c r="S6" s="45">
        <v>0</v>
      </c>
      <c r="T6" s="45">
        <v>0</v>
      </c>
      <c r="U6" s="45">
        <f t="shared" si="16"/>
        <v>898</v>
      </c>
      <c r="V6" s="45">
        <v>0</v>
      </c>
      <c r="W6" s="45">
        <v>0</v>
      </c>
      <c r="X6" s="45">
        <v>0</v>
      </c>
      <c r="Y6" s="48">
        <f t="shared" si="0"/>
        <v>7.8999999999999959E-2</v>
      </c>
      <c r="Z6" s="45">
        <v>3092</v>
      </c>
      <c r="AA6" s="45">
        <f t="shared" si="1"/>
        <v>3288</v>
      </c>
      <c r="AB6" s="48">
        <v>1.36</v>
      </c>
      <c r="AC6" s="45">
        <f t="shared" si="2"/>
        <v>2381580</v>
      </c>
      <c r="AD6" s="62">
        <f t="shared" si="3"/>
        <v>303940</v>
      </c>
      <c r="AE6" s="45">
        <f t="shared" si="4"/>
        <v>1239</v>
      </c>
      <c r="AF6" s="45">
        <f t="shared" si="5"/>
        <v>0</v>
      </c>
      <c r="AG6" s="45"/>
      <c r="AH6" s="45"/>
      <c r="AI6" s="45"/>
      <c r="AJ6" s="14">
        <f t="shared" si="6"/>
        <v>2686759</v>
      </c>
      <c r="AK6" s="21">
        <f t="shared" si="7"/>
        <v>1.1200000000000001</v>
      </c>
      <c r="AL6" s="45">
        <f t="shared" si="17"/>
        <v>248763</v>
      </c>
      <c r="AM6" s="14">
        <f t="shared" si="8"/>
        <v>0</v>
      </c>
      <c r="AN6" s="14">
        <f t="shared" si="9"/>
        <v>0</v>
      </c>
      <c r="AO6" s="14">
        <f t="shared" si="10"/>
        <v>17547</v>
      </c>
      <c r="AP6" s="14"/>
      <c r="AQ6" s="14">
        <f t="shared" si="18"/>
        <v>266310</v>
      </c>
      <c r="AR6" s="14">
        <f t="shared" si="19"/>
        <v>82616</v>
      </c>
      <c r="AS6" s="14">
        <f t="shared" si="20"/>
        <v>10776</v>
      </c>
      <c r="AT6" s="14">
        <f t="shared" si="21"/>
        <v>51186</v>
      </c>
      <c r="AU6" s="14">
        <f t="shared" si="11"/>
        <v>156800</v>
      </c>
      <c r="AV6" s="14">
        <f t="shared" si="12"/>
        <v>108936</v>
      </c>
      <c r="AW6" s="14">
        <f t="shared" si="13"/>
        <v>10598</v>
      </c>
      <c r="AX6" s="14">
        <f t="shared" si="14"/>
        <v>3373981</v>
      </c>
      <c r="AY6" s="14">
        <v>3015622</v>
      </c>
      <c r="AZ6" s="14">
        <f t="shared" si="15"/>
        <v>358359</v>
      </c>
      <c r="BA6" s="2"/>
      <c r="BB6" s="14">
        <v>58243</v>
      </c>
      <c r="BC6" s="14">
        <v>6951</v>
      </c>
      <c r="BD6" s="2"/>
      <c r="BE6" s="64">
        <v>45</v>
      </c>
      <c r="BF6" s="64">
        <v>1.0329999999999999</v>
      </c>
    </row>
    <row r="7" spans="1:58" ht="15" x14ac:dyDescent="0.2">
      <c r="A7" s="20" t="s">
        <v>69</v>
      </c>
      <c r="B7" s="21" t="s">
        <v>81</v>
      </c>
      <c r="C7" s="45">
        <v>1274</v>
      </c>
      <c r="D7" s="45">
        <v>165</v>
      </c>
      <c r="E7" s="45">
        <v>114</v>
      </c>
      <c r="F7" s="45">
        <v>0</v>
      </c>
      <c r="G7" s="45">
        <v>45</v>
      </c>
      <c r="H7" s="45">
        <v>2</v>
      </c>
      <c r="I7" s="45">
        <v>0</v>
      </c>
      <c r="J7" s="45"/>
      <c r="K7" s="45">
        <v>2</v>
      </c>
      <c r="L7" s="21"/>
      <c r="M7" s="45">
        <v>13</v>
      </c>
      <c r="N7" s="21">
        <v>0</v>
      </c>
      <c r="O7" s="45"/>
      <c r="P7" s="45"/>
      <c r="Q7" s="45">
        <v>75</v>
      </c>
      <c r="R7" s="45">
        <v>0</v>
      </c>
      <c r="S7" s="45">
        <v>0</v>
      </c>
      <c r="T7" s="45">
        <v>0</v>
      </c>
      <c r="U7" s="45">
        <f t="shared" si="16"/>
        <v>1690</v>
      </c>
      <c r="V7" s="45">
        <v>0</v>
      </c>
      <c r="W7" s="45">
        <v>0</v>
      </c>
      <c r="X7" s="45">
        <v>0</v>
      </c>
      <c r="Y7" s="48">
        <f t="shared" si="0"/>
        <v>4.4999999999999929E-2</v>
      </c>
      <c r="Z7" s="45">
        <v>2551</v>
      </c>
      <c r="AA7" s="45">
        <f t="shared" si="1"/>
        <v>2788</v>
      </c>
      <c r="AB7" s="48">
        <v>1.03</v>
      </c>
      <c r="AC7" s="45">
        <f t="shared" si="2"/>
        <v>3067970</v>
      </c>
      <c r="AD7" s="62">
        <f t="shared" si="3"/>
        <v>972608</v>
      </c>
      <c r="AE7" s="45">
        <f t="shared" si="4"/>
        <v>2478</v>
      </c>
      <c r="AF7" s="45">
        <f t="shared" si="5"/>
        <v>30394</v>
      </c>
      <c r="AG7" s="45"/>
      <c r="AH7" s="45"/>
      <c r="AI7" s="45"/>
      <c r="AJ7" s="14">
        <f t="shared" si="6"/>
        <v>4073450</v>
      </c>
      <c r="AK7" s="21">
        <f t="shared" si="7"/>
        <v>1.1200000000000001</v>
      </c>
      <c r="AL7" s="45">
        <f t="shared" si="17"/>
        <v>432062</v>
      </c>
      <c r="AM7" s="14">
        <f t="shared" si="8"/>
        <v>0</v>
      </c>
      <c r="AN7" s="14">
        <f t="shared" si="9"/>
        <v>150801</v>
      </c>
      <c r="AO7" s="14">
        <f t="shared" si="10"/>
        <v>17360</v>
      </c>
      <c r="AP7" s="14">
        <f>ROUND(D7*C$88*AP$84,0)</f>
        <v>38577</v>
      </c>
      <c r="AQ7" s="14">
        <f t="shared" si="18"/>
        <v>638800</v>
      </c>
      <c r="AR7" s="14">
        <f t="shared" si="19"/>
        <v>155480</v>
      </c>
      <c r="AS7" s="14">
        <f t="shared" si="20"/>
        <v>20280</v>
      </c>
      <c r="AT7" s="14">
        <f t="shared" si="21"/>
        <v>96330</v>
      </c>
      <c r="AU7" s="14">
        <f t="shared" si="11"/>
        <v>279650</v>
      </c>
      <c r="AV7" s="14">
        <f t="shared" si="12"/>
        <v>369648</v>
      </c>
      <c r="AW7" s="14">
        <f t="shared" si="13"/>
        <v>14363</v>
      </c>
      <c r="AX7" s="14">
        <f t="shared" si="14"/>
        <v>5648001</v>
      </c>
      <c r="AY7" s="14">
        <v>5221374</v>
      </c>
      <c r="AZ7" s="14">
        <f t="shared" si="15"/>
        <v>426627</v>
      </c>
      <c r="BA7" s="2"/>
      <c r="BB7" s="14">
        <v>103926</v>
      </c>
      <c r="BC7" s="14">
        <v>18836</v>
      </c>
      <c r="BD7" s="2"/>
      <c r="BE7" s="64">
        <v>46</v>
      </c>
      <c r="BF7" s="64">
        <v>1.046</v>
      </c>
    </row>
    <row r="8" spans="1:58" ht="15" x14ac:dyDescent="0.2">
      <c r="A8" s="20" t="s">
        <v>69</v>
      </c>
      <c r="B8" s="21" t="s">
        <v>135</v>
      </c>
      <c r="C8" s="45">
        <v>823</v>
      </c>
      <c r="D8" s="45">
        <v>114</v>
      </c>
      <c r="E8" s="45">
        <v>32</v>
      </c>
      <c r="F8" s="45">
        <v>0</v>
      </c>
      <c r="G8" s="45">
        <v>6</v>
      </c>
      <c r="H8" s="45">
        <v>0</v>
      </c>
      <c r="I8" s="45">
        <v>0</v>
      </c>
      <c r="J8" s="45"/>
      <c r="K8" s="45">
        <v>0</v>
      </c>
      <c r="L8" s="21"/>
      <c r="M8" s="45">
        <v>0</v>
      </c>
      <c r="N8" s="21">
        <v>0</v>
      </c>
      <c r="O8" s="45"/>
      <c r="P8" s="45"/>
      <c r="Q8" s="45">
        <v>0</v>
      </c>
      <c r="R8" s="45">
        <v>0</v>
      </c>
      <c r="S8" s="45">
        <v>0</v>
      </c>
      <c r="T8" s="45">
        <v>0</v>
      </c>
      <c r="U8" s="45">
        <f t="shared" si="16"/>
        <v>975</v>
      </c>
      <c r="V8" s="45">
        <v>0</v>
      </c>
      <c r="W8" s="45">
        <v>0</v>
      </c>
      <c r="X8" s="45">
        <v>0</v>
      </c>
      <c r="Y8" s="48">
        <f t="shared" si="0"/>
        <v>7.0000000000000062E-2</v>
      </c>
      <c r="Z8" s="45">
        <v>2401</v>
      </c>
      <c r="AA8" s="45">
        <f t="shared" si="1"/>
        <v>2569</v>
      </c>
      <c r="AB8" s="48">
        <v>1.03</v>
      </c>
      <c r="AC8" s="45">
        <f t="shared" si="2"/>
        <v>1981899</v>
      </c>
      <c r="AD8" s="62">
        <f t="shared" si="3"/>
        <v>205744</v>
      </c>
      <c r="AE8" s="45">
        <f t="shared" si="4"/>
        <v>0</v>
      </c>
      <c r="AF8" s="45">
        <f t="shared" si="5"/>
        <v>0</v>
      </c>
      <c r="AG8" s="45"/>
      <c r="AH8" s="45"/>
      <c r="AI8" s="45"/>
      <c r="AJ8" s="14">
        <f t="shared" si="6"/>
        <v>2187643</v>
      </c>
      <c r="AK8" s="21">
        <f t="shared" si="7"/>
        <v>1.1200000000000001</v>
      </c>
      <c r="AL8" s="45">
        <f t="shared" si="17"/>
        <v>298516</v>
      </c>
      <c r="AM8" s="14">
        <f t="shared" si="8"/>
        <v>0</v>
      </c>
      <c r="AN8" s="14">
        <f t="shared" si="9"/>
        <v>0</v>
      </c>
      <c r="AO8" s="14">
        <f t="shared" si="10"/>
        <v>18657</v>
      </c>
      <c r="AP8" s="14"/>
      <c r="AQ8" s="14">
        <f t="shared" si="18"/>
        <v>317173</v>
      </c>
      <c r="AR8" s="14">
        <f t="shared" si="19"/>
        <v>89700</v>
      </c>
      <c r="AS8" s="14">
        <f t="shared" si="20"/>
        <v>11700</v>
      </c>
      <c r="AT8" s="14">
        <f t="shared" si="21"/>
        <v>55575</v>
      </c>
      <c r="AU8" s="14">
        <f t="shared" si="11"/>
        <v>170625</v>
      </c>
      <c r="AV8" s="14">
        <f t="shared" si="12"/>
        <v>68544</v>
      </c>
      <c r="AW8" s="14">
        <f t="shared" si="13"/>
        <v>8606</v>
      </c>
      <c r="AX8" s="14">
        <f t="shared" si="14"/>
        <v>2909566</v>
      </c>
      <c r="AY8" s="14">
        <v>2716870</v>
      </c>
      <c r="AZ8" s="14">
        <f t="shared" si="15"/>
        <v>192696</v>
      </c>
      <c r="BA8" s="2"/>
      <c r="BB8" s="14">
        <v>47533</v>
      </c>
      <c r="BC8" s="14">
        <v>6979</v>
      </c>
      <c r="BD8" s="2"/>
      <c r="BE8" s="64">
        <v>47</v>
      </c>
      <c r="BF8" s="64">
        <v>1.0569999999999999</v>
      </c>
    </row>
    <row r="9" spans="1:58" ht="15" x14ac:dyDescent="0.2">
      <c r="A9" s="20" t="s">
        <v>69</v>
      </c>
      <c r="B9" s="21" t="s">
        <v>134</v>
      </c>
      <c r="C9" s="45">
        <v>879</v>
      </c>
      <c r="D9" s="45">
        <v>105</v>
      </c>
      <c r="E9" s="45">
        <v>56</v>
      </c>
      <c r="F9" s="45">
        <v>0</v>
      </c>
      <c r="G9" s="45">
        <v>15</v>
      </c>
      <c r="H9" s="45">
        <v>1</v>
      </c>
      <c r="I9" s="45">
        <v>0</v>
      </c>
      <c r="J9" s="45"/>
      <c r="K9" s="45">
        <v>4</v>
      </c>
      <c r="L9" s="21"/>
      <c r="M9" s="45">
        <v>0</v>
      </c>
      <c r="N9" s="21">
        <v>0</v>
      </c>
      <c r="O9" s="45"/>
      <c r="P9" s="45"/>
      <c r="Q9" s="45">
        <v>0</v>
      </c>
      <c r="R9" s="45">
        <v>0</v>
      </c>
      <c r="S9" s="45">
        <v>0</v>
      </c>
      <c r="T9" s="45">
        <v>0</v>
      </c>
      <c r="U9" s="45">
        <f t="shared" si="16"/>
        <v>1060</v>
      </c>
      <c r="V9" s="45">
        <v>0</v>
      </c>
      <c r="W9" s="45">
        <v>0</v>
      </c>
      <c r="X9" s="45">
        <v>0</v>
      </c>
      <c r="Y9" s="48">
        <f t="shared" si="0"/>
        <v>7.4000000000000066E-2</v>
      </c>
      <c r="Z9" s="45">
        <v>2992</v>
      </c>
      <c r="AA9" s="45">
        <f t="shared" si="1"/>
        <v>3190</v>
      </c>
      <c r="AB9" s="48">
        <v>1.3</v>
      </c>
      <c r="AC9" s="45">
        <f t="shared" si="2"/>
        <v>2671633</v>
      </c>
      <c r="AD9" s="62">
        <f t="shared" si="3"/>
        <v>411488</v>
      </c>
      <c r="AE9" s="45">
        <f t="shared" si="4"/>
        <v>4957</v>
      </c>
      <c r="AF9" s="45">
        <f t="shared" si="5"/>
        <v>0</v>
      </c>
      <c r="AG9" s="45"/>
      <c r="AH9" s="45"/>
      <c r="AI9" s="45"/>
      <c r="AJ9" s="14">
        <f t="shared" si="6"/>
        <v>3088078</v>
      </c>
      <c r="AK9" s="21">
        <f t="shared" si="7"/>
        <v>1.1200000000000001</v>
      </c>
      <c r="AL9" s="45">
        <f t="shared" si="17"/>
        <v>274949</v>
      </c>
      <c r="AM9" s="14">
        <f t="shared" si="8"/>
        <v>0</v>
      </c>
      <c r="AN9" s="14">
        <f t="shared" si="9"/>
        <v>0</v>
      </c>
      <c r="AO9" s="14">
        <f t="shared" si="10"/>
        <v>18166</v>
      </c>
      <c r="AP9" s="14"/>
      <c r="AQ9" s="14">
        <f t="shared" si="18"/>
        <v>293115</v>
      </c>
      <c r="AR9" s="14">
        <f t="shared" si="19"/>
        <v>97520</v>
      </c>
      <c r="AS9" s="14">
        <f t="shared" si="20"/>
        <v>12720</v>
      </c>
      <c r="AT9" s="14">
        <f t="shared" si="21"/>
        <v>60420</v>
      </c>
      <c r="AU9" s="14">
        <f t="shared" si="11"/>
        <v>184625</v>
      </c>
      <c r="AV9" s="14">
        <f t="shared" si="12"/>
        <v>146880</v>
      </c>
      <c r="AW9" s="14">
        <f t="shared" si="13"/>
        <v>12048</v>
      </c>
      <c r="AX9" s="14">
        <f t="shared" si="14"/>
        <v>3895406</v>
      </c>
      <c r="AY9" s="14">
        <v>3642605</v>
      </c>
      <c r="AZ9" s="14">
        <f t="shared" si="15"/>
        <v>252801</v>
      </c>
      <c r="BA9" s="2"/>
      <c r="BB9" s="14">
        <v>92119</v>
      </c>
      <c r="BC9" s="14">
        <v>11612</v>
      </c>
      <c r="BD9" s="2"/>
      <c r="BE9" s="64">
        <v>48</v>
      </c>
      <c r="BF9" s="64">
        <v>1.069</v>
      </c>
    </row>
    <row r="10" spans="1:58" ht="15" x14ac:dyDescent="0.2">
      <c r="A10" s="20" t="s">
        <v>69</v>
      </c>
      <c r="B10" s="21" t="s">
        <v>133</v>
      </c>
      <c r="C10" s="45">
        <v>673</v>
      </c>
      <c r="D10" s="45">
        <v>88</v>
      </c>
      <c r="E10" s="45">
        <v>48</v>
      </c>
      <c r="F10" s="45">
        <v>0</v>
      </c>
      <c r="G10" s="45">
        <v>11</v>
      </c>
      <c r="H10" s="45">
        <v>0</v>
      </c>
      <c r="I10" s="45">
        <v>0</v>
      </c>
      <c r="J10" s="45"/>
      <c r="K10" s="45">
        <v>3</v>
      </c>
      <c r="L10" s="21"/>
      <c r="M10" s="45">
        <v>0</v>
      </c>
      <c r="N10" s="21">
        <v>0</v>
      </c>
      <c r="O10" s="45"/>
      <c r="P10" s="45"/>
      <c r="Q10" s="45">
        <v>0</v>
      </c>
      <c r="R10" s="45">
        <v>0</v>
      </c>
      <c r="S10" s="45">
        <v>0</v>
      </c>
      <c r="T10" s="45">
        <v>0</v>
      </c>
      <c r="U10" s="45">
        <f t="shared" si="16"/>
        <v>823</v>
      </c>
      <c r="V10" s="45">
        <v>0</v>
      </c>
      <c r="W10" s="45">
        <v>0</v>
      </c>
      <c r="X10" s="45">
        <v>0</v>
      </c>
      <c r="Y10" s="48">
        <f t="shared" si="0"/>
        <v>8.2000000000000073E-2</v>
      </c>
      <c r="Z10" s="45">
        <v>2848</v>
      </c>
      <c r="AA10" s="45">
        <f t="shared" si="1"/>
        <v>3073</v>
      </c>
      <c r="AB10" s="48">
        <v>1.24</v>
      </c>
      <c r="AC10" s="45">
        <f t="shared" si="2"/>
        <v>1951108</v>
      </c>
      <c r="AD10" s="62">
        <f t="shared" si="3"/>
        <v>327320</v>
      </c>
      <c r="AE10" s="45">
        <f t="shared" si="4"/>
        <v>3717</v>
      </c>
      <c r="AF10" s="45">
        <f t="shared" si="5"/>
        <v>0</v>
      </c>
      <c r="AG10" s="45"/>
      <c r="AH10" s="45"/>
      <c r="AI10" s="45"/>
      <c r="AJ10" s="14">
        <f t="shared" si="6"/>
        <v>2282145</v>
      </c>
      <c r="AK10" s="21">
        <f t="shared" si="7"/>
        <v>1.1200000000000001</v>
      </c>
      <c r="AL10" s="45">
        <f t="shared" si="17"/>
        <v>230433</v>
      </c>
      <c r="AM10" s="14">
        <f t="shared" si="8"/>
        <v>0</v>
      </c>
      <c r="AN10" s="14">
        <f t="shared" si="9"/>
        <v>0</v>
      </c>
      <c r="AO10" s="14">
        <f t="shared" si="10"/>
        <v>16871</v>
      </c>
      <c r="AP10" s="14"/>
      <c r="AQ10" s="14">
        <f t="shared" si="18"/>
        <v>247304</v>
      </c>
      <c r="AR10" s="14">
        <f t="shared" si="19"/>
        <v>75716</v>
      </c>
      <c r="AS10" s="14">
        <f t="shared" si="20"/>
        <v>10747</v>
      </c>
      <c r="AT10" s="14">
        <f t="shared" si="21"/>
        <v>46911</v>
      </c>
      <c r="AU10" s="14">
        <f t="shared" si="11"/>
        <v>143500</v>
      </c>
      <c r="AV10" s="14">
        <f t="shared" si="12"/>
        <v>112608</v>
      </c>
      <c r="AW10" s="14">
        <f t="shared" si="13"/>
        <v>8844</v>
      </c>
      <c r="AX10" s="14">
        <f t="shared" si="14"/>
        <v>2927775</v>
      </c>
      <c r="AY10" s="14">
        <v>2814336</v>
      </c>
      <c r="AZ10" s="14">
        <f t="shared" si="15"/>
        <v>113439</v>
      </c>
      <c r="BA10" s="2"/>
      <c r="BB10" s="14">
        <v>74932</v>
      </c>
      <c r="BC10" s="14">
        <v>10747</v>
      </c>
      <c r="BD10" s="2"/>
      <c r="BE10" s="64">
        <v>49</v>
      </c>
      <c r="BF10" s="64">
        <v>1.08</v>
      </c>
    </row>
    <row r="11" spans="1:58" ht="15" x14ac:dyDescent="0.2">
      <c r="A11" s="20" t="s">
        <v>69</v>
      </c>
      <c r="B11" s="21" t="s">
        <v>83</v>
      </c>
      <c r="C11" s="45">
        <v>191</v>
      </c>
      <c r="D11" s="45">
        <v>23</v>
      </c>
      <c r="E11" s="45">
        <v>11</v>
      </c>
      <c r="F11" s="45">
        <v>0</v>
      </c>
      <c r="G11" s="45">
        <v>2</v>
      </c>
      <c r="H11" s="45">
        <v>0</v>
      </c>
      <c r="I11" s="45">
        <v>0</v>
      </c>
      <c r="J11" s="45"/>
      <c r="K11" s="45">
        <v>0</v>
      </c>
      <c r="L11" s="21"/>
      <c r="M11" s="45">
        <v>0</v>
      </c>
      <c r="N11" s="21">
        <v>0</v>
      </c>
      <c r="O11" s="45"/>
      <c r="P11" s="45"/>
      <c r="Q11" s="45">
        <v>0</v>
      </c>
      <c r="R11" s="45">
        <v>0</v>
      </c>
      <c r="S11" s="45">
        <v>0</v>
      </c>
      <c r="T11" s="45">
        <v>0</v>
      </c>
      <c r="U11" s="45">
        <f t="shared" si="16"/>
        <v>227</v>
      </c>
      <c r="V11" s="45">
        <v>0</v>
      </c>
      <c r="W11" s="45">
        <v>0</v>
      </c>
      <c r="X11" s="45">
        <v>0</v>
      </c>
      <c r="Y11" s="48">
        <f t="shared" si="0"/>
        <v>0</v>
      </c>
      <c r="Z11" s="45">
        <v>3329</v>
      </c>
      <c r="AA11" s="45">
        <f t="shared" si="1"/>
        <v>3588</v>
      </c>
      <c r="AB11" s="48">
        <v>1.52</v>
      </c>
      <c r="AC11" s="45">
        <f t="shared" si="2"/>
        <v>678768</v>
      </c>
      <c r="AD11" s="62">
        <f t="shared" si="3"/>
        <v>70140</v>
      </c>
      <c r="AE11" s="45">
        <f t="shared" si="4"/>
        <v>0</v>
      </c>
      <c r="AF11" s="45">
        <f t="shared" si="5"/>
        <v>0</v>
      </c>
      <c r="AG11" s="45"/>
      <c r="AH11" s="45"/>
      <c r="AI11" s="45"/>
      <c r="AJ11" s="14">
        <f t="shared" si="6"/>
        <v>748908</v>
      </c>
      <c r="AK11" s="21">
        <f t="shared" si="7"/>
        <v>1.1200000000000001</v>
      </c>
      <c r="AL11" s="45">
        <f t="shared" si="17"/>
        <v>60227</v>
      </c>
      <c r="AM11" s="14">
        <f t="shared" si="8"/>
        <v>0</v>
      </c>
      <c r="AN11" s="14">
        <f t="shared" si="9"/>
        <v>0</v>
      </c>
      <c r="AO11" s="14">
        <f t="shared" si="10"/>
        <v>0</v>
      </c>
      <c r="AP11" s="14">
        <f>ROUND(D11*C$88*AP$84,0)</f>
        <v>5377</v>
      </c>
      <c r="AQ11" s="14">
        <f t="shared" si="18"/>
        <v>65604</v>
      </c>
      <c r="AR11" s="14">
        <f t="shared" si="19"/>
        <v>34199</v>
      </c>
      <c r="AS11" s="14">
        <f t="shared" si="20"/>
        <v>6498</v>
      </c>
      <c r="AT11" s="14">
        <f t="shared" si="21"/>
        <v>12939</v>
      </c>
      <c r="AU11" s="14">
        <f t="shared" si="11"/>
        <v>39725</v>
      </c>
      <c r="AV11" s="14">
        <f t="shared" si="12"/>
        <v>23256</v>
      </c>
      <c r="AW11" s="14">
        <f t="shared" si="13"/>
        <v>3009</v>
      </c>
      <c r="AX11" s="14">
        <f t="shared" si="14"/>
        <v>934138</v>
      </c>
      <c r="AY11" s="14">
        <v>940019</v>
      </c>
      <c r="AZ11" s="14">
        <f t="shared" si="15"/>
        <v>-5881</v>
      </c>
      <c r="BA11" s="2"/>
      <c r="BB11" s="14">
        <v>34199</v>
      </c>
      <c r="BC11" s="14">
        <v>6498</v>
      </c>
      <c r="BD11" s="2"/>
      <c r="BE11" s="64">
        <v>50</v>
      </c>
      <c r="BF11" s="64">
        <v>1.0900000000000001</v>
      </c>
    </row>
    <row r="12" spans="1:58" ht="15" x14ac:dyDescent="0.2">
      <c r="A12" s="20" t="s">
        <v>69</v>
      </c>
      <c r="B12" s="21" t="s">
        <v>231</v>
      </c>
      <c r="C12" s="45">
        <v>1036</v>
      </c>
      <c r="D12" s="45">
        <v>66</v>
      </c>
      <c r="E12" s="45">
        <v>82</v>
      </c>
      <c r="F12" s="45">
        <v>0</v>
      </c>
      <c r="G12" s="45">
        <v>29</v>
      </c>
      <c r="H12" s="45">
        <v>1</v>
      </c>
      <c r="I12" s="45">
        <v>0</v>
      </c>
      <c r="J12" s="45"/>
      <c r="K12" s="45">
        <v>7</v>
      </c>
      <c r="L12" s="21"/>
      <c r="M12" s="45">
        <v>0</v>
      </c>
      <c r="N12" s="21">
        <v>0</v>
      </c>
      <c r="O12" s="45"/>
      <c r="P12" s="45"/>
      <c r="Q12" s="45">
        <v>0</v>
      </c>
      <c r="R12" s="45">
        <v>0</v>
      </c>
      <c r="S12" s="45">
        <v>0</v>
      </c>
      <c r="T12" s="45">
        <v>0</v>
      </c>
      <c r="U12" s="45">
        <f t="shared" si="16"/>
        <v>1221</v>
      </c>
      <c r="V12" s="45">
        <v>0</v>
      </c>
      <c r="W12" s="45">
        <v>0</v>
      </c>
      <c r="X12" s="45">
        <v>0</v>
      </c>
      <c r="Y12" s="48">
        <f t="shared" si="0"/>
        <v>9.2999999999999972E-2</v>
      </c>
      <c r="Z12" s="45">
        <v>3516</v>
      </c>
      <c r="AA12" s="45">
        <f t="shared" si="1"/>
        <v>3762</v>
      </c>
      <c r="AB12" s="48">
        <v>1.5349999999999999</v>
      </c>
      <c r="AC12" s="45">
        <f t="shared" si="2"/>
        <v>3718028</v>
      </c>
      <c r="AD12" s="62">
        <f t="shared" si="3"/>
        <v>663992</v>
      </c>
      <c r="AE12" s="45">
        <f t="shared" si="4"/>
        <v>8674</v>
      </c>
      <c r="AF12" s="45">
        <f t="shared" si="5"/>
        <v>0</v>
      </c>
      <c r="AG12" s="45"/>
      <c r="AH12" s="45"/>
      <c r="AI12" s="45"/>
      <c r="AJ12" s="14">
        <f t="shared" si="6"/>
        <v>4390694</v>
      </c>
      <c r="AK12" s="21">
        <f t="shared" si="7"/>
        <v>1.1200000000000001</v>
      </c>
      <c r="AL12" s="45">
        <f t="shared" si="17"/>
        <v>172825</v>
      </c>
      <c r="AM12" s="14">
        <f t="shared" si="8"/>
        <v>0</v>
      </c>
      <c r="AN12" s="14">
        <f t="shared" si="9"/>
        <v>0</v>
      </c>
      <c r="AO12" s="14">
        <f t="shared" si="10"/>
        <v>14351</v>
      </c>
      <c r="AP12" s="14">
        <f>ROUND(D12*C$88*AP$84,0)</f>
        <v>15431</v>
      </c>
      <c r="AQ12" s="14">
        <f t="shared" si="18"/>
        <v>202607</v>
      </c>
      <c r="AR12" s="14">
        <f t="shared" si="19"/>
        <v>166722</v>
      </c>
      <c r="AS12" s="14">
        <f t="shared" si="20"/>
        <v>18484</v>
      </c>
      <c r="AT12" s="14">
        <f t="shared" si="21"/>
        <v>69597</v>
      </c>
      <c r="AU12" s="14">
        <f t="shared" si="11"/>
        <v>212275</v>
      </c>
      <c r="AV12" s="14">
        <f t="shared" si="12"/>
        <v>247248</v>
      </c>
      <c r="AW12" s="14">
        <f t="shared" si="13"/>
        <v>17205</v>
      </c>
      <c r="AX12" s="14">
        <f t="shared" si="14"/>
        <v>5324832</v>
      </c>
      <c r="AY12" s="14">
        <v>5077683</v>
      </c>
      <c r="AZ12" s="14">
        <f t="shared" si="15"/>
        <v>247149</v>
      </c>
      <c r="BA12" s="2"/>
      <c r="BB12" s="14">
        <v>166722</v>
      </c>
      <c r="BC12" s="14">
        <v>18484</v>
      </c>
      <c r="BD12" s="2"/>
      <c r="BE12" s="64">
        <v>51</v>
      </c>
      <c r="BF12" s="64">
        <v>1.1000000000000001</v>
      </c>
    </row>
    <row r="13" spans="1:58" ht="15" x14ac:dyDescent="0.2">
      <c r="A13" s="20" t="s">
        <v>69</v>
      </c>
      <c r="B13" s="21" t="s">
        <v>68</v>
      </c>
      <c r="C13" s="45">
        <v>1297</v>
      </c>
      <c r="D13" s="45">
        <v>188</v>
      </c>
      <c r="E13" s="45">
        <v>63</v>
      </c>
      <c r="F13" s="45">
        <v>0</v>
      </c>
      <c r="G13" s="45">
        <v>25</v>
      </c>
      <c r="H13" s="45">
        <v>1</v>
      </c>
      <c r="I13" s="45">
        <v>0</v>
      </c>
      <c r="J13" s="45"/>
      <c r="K13" s="45">
        <v>2</v>
      </c>
      <c r="L13" s="21"/>
      <c r="M13" s="45">
        <v>22</v>
      </c>
      <c r="N13" s="21">
        <v>0</v>
      </c>
      <c r="O13" s="45"/>
      <c r="P13" s="45"/>
      <c r="Q13" s="45">
        <v>125</v>
      </c>
      <c r="R13" s="45">
        <v>0</v>
      </c>
      <c r="S13" s="45">
        <v>0</v>
      </c>
      <c r="T13" s="45">
        <v>0</v>
      </c>
      <c r="U13" s="45">
        <f t="shared" si="16"/>
        <v>1723</v>
      </c>
      <c r="V13" s="45">
        <v>0</v>
      </c>
      <c r="W13" s="45">
        <v>0</v>
      </c>
      <c r="X13" s="45">
        <v>1</v>
      </c>
      <c r="Y13" s="48">
        <f t="shared" si="0"/>
        <v>3.400000000000003E-2</v>
      </c>
      <c r="Z13" s="45">
        <v>2416</v>
      </c>
      <c r="AA13" s="45">
        <f t="shared" si="1"/>
        <v>2596</v>
      </c>
      <c r="AB13" s="48">
        <v>1.03</v>
      </c>
      <c r="AC13" s="45">
        <f t="shared" si="2"/>
        <v>3123358</v>
      </c>
      <c r="AD13" s="62">
        <f t="shared" si="3"/>
        <v>537740</v>
      </c>
      <c r="AE13" s="45">
        <f t="shared" si="4"/>
        <v>2478</v>
      </c>
      <c r="AF13" s="45">
        <f t="shared" si="5"/>
        <v>51436</v>
      </c>
      <c r="AG13" s="45"/>
      <c r="AH13" s="45"/>
      <c r="AI13" s="45"/>
      <c r="AJ13" s="14">
        <f t="shared" si="6"/>
        <v>3715012</v>
      </c>
      <c r="AK13" s="21">
        <f t="shared" si="7"/>
        <v>1.1200000000000001</v>
      </c>
      <c r="AL13" s="45">
        <f t="shared" si="17"/>
        <v>492289</v>
      </c>
      <c r="AM13" s="14">
        <f t="shared" si="8"/>
        <v>0</v>
      </c>
      <c r="AN13" s="14">
        <f t="shared" si="9"/>
        <v>251335</v>
      </c>
      <c r="AO13" s="14">
        <f t="shared" si="10"/>
        <v>14944</v>
      </c>
      <c r="AP13" s="14"/>
      <c r="AQ13" s="14">
        <f t="shared" si="18"/>
        <v>758568</v>
      </c>
      <c r="AR13" s="14">
        <f t="shared" si="19"/>
        <v>158516</v>
      </c>
      <c r="AS13" s="14">
        <f t="shared" si="20"/>
        <v>20676</v>
      </c>
      <c r="AT13" s="14">
        <f t="shared" si="21"/>
        <v>98211</v>
      </c>
      <c r="AU13" s="14">
        <f t="shared" si="11"/>
        <v>275275</v>
      </c>
      <c r="AV13" s="14">
        <f t="shared" si="12"/>
        <v>209304</v>
      </c>
      <c r="AW13" s="14">
        <f t="shared" si="13"/>
        <v>13874</v>
      </c>
      <c r="AX13" s="14">
        <f t="shared" si="14"/>
        <v>5249436</v>
      </c>
      <c r="AY13" s="14">
        <v>4662428</v>
      </c>
      <c r="AZ13" s="14">
        <f t="shared" si="15"/>
        <v>587008</v>
      </c>
      <c r="BA13" s="2"/>
      <c r="BB13" s="14">
        <v>124790</v>
      </c>
      <c r="BC13" s="14">
        <v>17960</v>
      </c>
      <c r="BD13" s="2"/>
      <c r="BE13" s="64">
        <v>52</v>
      </c>
      <c r="BF13" s="64">
        <v>1.1000000000000001</v>
      </c>
    </row>
    <row r="14" spans="1:58" ht="15" x14ac:dyDescent="0.2">
      <c r="A14" s="20" t="s">
        <v>69</v>
      </c>
      <c r="B14" s="21" t="s">
        <v>132</v>
      </c>
      <c r="C14" s="45">
        <v>605</v>
      </c>
      <c r="D14" s="45">
        <v>0</v>
      </c>
      <c r="E14" s="45">
        <v>32</v>
      </c>
      <c r="F14" s="45">
        <v>0</v>
      </c>
      <c r="G14" s="45">
        <v>10</v>
      </c>
      <c r="H14" s="45">
        <v>0</v>
      </c>
      <c r="I14" s="45">
        <v>0</v>
      </c>
      <c r="J14" s="45"/>
      <c r="K14" s="45">
        <v>0</v>
      </c>
      <c r="L14" s="21"/>
      <c r="M14" s="45">
        <v>0</v>
      </c>
      <c r="N14" s="21">
        <v>0</v>
      </c>
      <c r="O14" s="45"/>
      <c r="P14" s="45"/>
      <c r="Q14" s="45">
        <v>0</v>
      </c>
      <c r="R14" s="45">
        <v>0</v>
      </c>
      <c r="S14" s="45">
        <v>0</v>
      </c>
      <c r="T14" s="45">
        <v>0</v>
      </c>
      <c r="U14" s="45">
        <f t="shared" si="16"/>
        <v>647</v>
      </c>
      <c r="V14" s="45">
        <v>0</v>
      </c>
      <c r="W14" s="45">
        <v>0</v>
      </c>
      <c r="X14" s="45">
        <v>0</v>
      </c>
      <c r="Y14" s="48">
        <f t="shared" si="0"/>
        <v>0</v>
      </c>
      <c r="Z14" s="45">
        <v>3037</v>
      </c>
      <c r="AA14" s="45">
        <f t="shared" si="1"/>
        <v>3240</v>
      </c>
      <c r="AB14" s="48">
        <v>1.31</v>
      </c>
      <c r="AC14" s="45">
        <f t="shared" si="2"/>
        <v>1852982</v>
      </c>
      <c r="AD14" s="62">
        <f t="shared" si="3"/>
        <v>243152</v>
      </c>
      <c r="AE14" s="45">
        <f t="shared" si="4"/>
        <v>0</v>
      </c>
      <c r="AF14" s="45">
        <f t="shared" si="5"/>
        <v>0</v>
      </c>
      <c r="AG14" s="45"/>
      <c r="AH14" s="45"/>
      <c r="AI14" s="45"/>
      <c r="AJ14" s="14">
        <f t="shared" si="6"/>
        <v>2096134</v>
      </c>
      <c r="AK14" s="21">
        <f t="shared" si="7"/>
        <v>1.1200000000000001</v>
      </c>
      <c r="AL14" s="45">
        <f t="shared" si="17"/>
        <v>0</v>
      </c>
      <c r="AM14" s="14">
        <f t="shared" si="8"/>
        <v>0</v>
      </c>
      <c r="AN14" s="14">
        <f t="shared" si="9"/>
        <v>0</v>
      </c>
      <c r="AO14" s="14">
        <f t="shared" si="10"/>
        <v>0</v>
      </c>
      <c r="AP14" s="14"/>
      <c r="AQ14" s="14">
        <f t="shared" si="18"/>
        <v>0</v>
      </c>
      <c r="AR14" s="14">
        <f t="shared" si="19"/>
        <v>61068</v>
      </c>
      <c r="AS14" s="14">
        <f t="shared" si="20"/>
        <v>7764</v>
      </c>
      <c r="AT14" s="14">
        <f t="shared" si="21"/>
        <v>36879</v>
      </c>
      <c r="AU14" s="14">
        <f t="shared" si="11"/>
        <v>113225</v>
      </c>
      <c r="AV14" s="14">
        <f t="shared" si="12"/>
        <v>88128</v>
      </c>
      <c r="AW14" s="14">
        <f t="shared" si="13"/>
        <v>8225</v>
      </c>
      <c r="AX14" s="14">
        <f t="shared" si="14"/>
        <v>2411423</v>
      </c>
      <c r="AY14" s="14">
        <v>2315925</v>
      </c>
      <c r="AZ14" s="14">
        <f t="shared" si="15"/>
        <v>95498</v>
      </c>
      <c r="BA14" s="2"/>
      <c r="BB14" s="14">
        <v>61068</v>
      </c>
      <c r="BC14" s="14">
        <v>7216</v>
      </c>
      <c r="BD14" s="2"/>
      <c r="BE14" s="64">
        <v>53</v>
      </c>
      <c r="BF14" s="64">
        <v>1.099</v>
      </c>
    </row>
    <row r="15" spans="1:58" ht="15" x14ac:dyDescent="0.2">
      <c r="A15" s="20" t="s">
        <v>69</v>
      </c>
      <c r="B15" s="21" t="s">
        <v>131</v>
      </c>
      <c r="C15" s="45">
        <v>3405</v>
      </c>
      <c r="D15" s="45">
        <v>259</v>
      </c>
      <c r="E15" s="45">
        <v>156</v>
      </c>
      <c r="F15" s="45">
        <v>0</v>
      </c>
      <c r="G15" s="45">
        <v>53</v>
      </c>
      <c r="H15" s="45">
        <v>2</v>
      </c>
      <c r="I15" s="45">
        <v>0</v>
      </c>
      <c r="J15" s="45"/>
      <c r="K15" s="45">
        <v>11</v>
      </c>
      <c r="L15" s="21"/>
      <c r="M15" s="45">
        <v>0</v>
      </c>
      <c r="N15" s="21">
        <v>0</v>
      </c>
      <c r="O15" s="45"/>
      <c r="P15" s="45"/>
      <c r="Q15" s="45">
        <v>0</v>
      </c>
      <c r="R15" s="45">
        <v>0</v>
      </c>
      <c r="S15" s="45">
        <v>0</v>
      </c>
      <c r="T15" s="45">
        <v>0</v>
      </c>
      <c r="U15" s="45">
        <f t="shared" si="16"/>
        <v>3886</v>
      </c>
      <c r="V15" s="45">
        <v>0</v>
      </c>
      <c r="W15" s="45">
        <v>0</v>
      </c>
      <c r="X15" s="45">
        <v>0</v>
      </c>
      <c r="Y15" s="48">
        <f t="shared" si="0"/>
        <v>0</v>
      </c>
      <c r="Z15" s="45">
        <v>2362</v>
      </c>
      <c r="AA15" s="45">
        <f t="shared" si="1"/>
        <v>2547</v>
      </c>
      <c r="AB15" s="48">
        <v>1</v>
      </c>
      <c r="AC15" s="45">
        <f t="shared" si="2"/>
        <v>7960890</v>
      </c>
      <c r="AD15" s="62">
        <f t="shared" si="3"/>
        <v>1243816</v>
      </c>
      <c r="AE15" s="45">
        <f t="shared" si="4"/>
        <v>13631</v>
      </c>
      <c r="AF15" s="45">
        <f t="shared" si="5"/>
        <v>0</v>
      </c>
      <c r="AG15" s="45"/>
      <c r="AH15" s="45"/>
      <c r="AI15" s="45"/>
      <c r="AJ15" s="14">
        <f t="shared" si="6"/>
        <v>9218337</v>
      </c>
      <c r="AK15" s="21">
        <f t="shared" si="7"/>
        <v>1.1200000000000001</v>
      </c>
      <c r="AL15" s="45">
        <f t="shared" si="17"/>
        <v>678207</v>
      </c>
      <c r="AM15" s="14">
        <f t="shared" si="8"/>
        <v>0</v>
      </c>
      <c r="AN15" s="14">
        <f t="shared" si="9"/>
        <v>0</v>
      </c>
      <c r="AO15" s="14">
        <f t="shared" si="10"/>
        <v>0</v>
      </c>
      <c r="AP15" s="14"/>
      <c r="AQ15" s="14">
        <f t="shared" si="18"/>
        <v>678207</v>
      </c>
      <c r="AR15" s="14">
        <f t="shared" si="19"/>
        <v>357512</v>
      </c>
      <c r="AS15" s="14">
        <f t="shared" si="20"/>
        <v>46632</v>
      </c>
      <c r="AT15" s="14">
        <f t="shared" si="21"/>
        <v>221502</v>
      </c>
      <c r="AU15" s="14">
        <f t="shared" si="11"/>
        <v>677775</v>
      </c>
      <c r="AV15" s="14">
        <f t="shared" si="12"/>
        <v>460224</v>
      </c>
      <c r="AW15" s="14">
        <f t="shared" si="13"/>
        <v>35197</v>
      </c>
      <c r="AX15" s="14">
        <f t="shared" si="14"/>
        <v>11695386</v>
      </c>
      <c r="AY15" s="14">
        <v>10489299</v>
      </c>
      <c r="AZ15" s="14">
        <f t="shared" si="15"/>
        <v>1206087</v>
      </c>
      <c r="BA15" s="2"/>
      <c r="BB15" s="14">
        <v>151603</v>
      </c>
      <c r="BC15" s="14">
        <v>19426</v>
      </c>
      <c r="BD15" s="2"/>
      <c r="BE15" s="64">
        <v>54</v>
      </c>
      <c r="BF15" s="64">
        <v>1.099</v>
      </c>
    </row>
    <row r="16" spans="1:58" ht="15" x14ac:dyDescent="0.2">
      <c r="A16" s="20" t="s">
        <v>69</v>
      </c>
      <c r="B16" s="21" t="s">
        <v>130</v>
      </c>
      <c r="C16" s="45">
        <v>1467</v>
      </c>
      <c r="D16" s="45">
        <v>251</v>
      </c>
      <c r="E16" s="45">
        <v>101</v>
      </c>
      <c r="F16" s="45">
        <v>0</v>
      </c>
      <c r="G16" s="45">
        <v>36</v>
      </c>
      <c r="H16" s="45">
        <v>0</v>
      </c>
      <c r="I16" s="45">
        <v>0</v>
      </c>
      <c r="J16" s="45"/>
      <c r="K16" s="45">
        <v>5</v>
      </c>
      <c r="L16" s="21"/>
      <c r="M16" s="45">
        <v>0</v>
      </c>
      <c r="N16" s="21">
        <v>0</v>
      </c>
      <c r="O16" s="45"/>
      <c r="P16" s="45"/>
      <c r="Q16" s="45">
        <v>0</v>
      </c>
      <c r="R16" s="45">
        <v>0</v>
      </c>
      <c r="S16" s="45">
        <v>0</v>
      </c>
      <c r="T16" s="45">
        <v>0</v>
      </c>
      <c r="U16" s="45">
        <f t="shared" si="16"/>
        <v>1860</v>
      </c>
      <c r="V16" s="45">
        <v>0</v>
      </c>
      <c r="W16" s="45">
        <v>0</v>
      </c>
      <c r="X16" s="45">
        <v>0</v>
      </c>
      <c r="Y16" s="48">
        <f t="shared" si="0"/>
        <v>0</v>
      </c>
      <c r="Z16" s="45">
        <v>2423</v>
      </c>
      <c r="AA16" s="45">
        <f t="shared" si="1"/>
        <v>2636</v>
      </c>
      <c r="AB16" s="48">
        <v>1</v>
      </c>
      <c r="AC16" s="45">
        <f t="shared" si="2"/>
        <v>3429846</v>
      </c>
      <c r="AD16" s="62">
        <f t="shared" si="3"/>
        <v>808948</v>
      </c>
      <c r="AE16" s="45">
        <f t="shared" si="4"/>
        <v>6196</v>
      </c>
      <c r="AF16" s="45">
        <f t="shared" si="5"/>
        <v>0</v>
      </c>
      <c r="AG16" s="45"/>
      <c r="AH16" s="45"/>
      <c r="AI16" s="45"/>
      <c r="AJ16" s="14">
        <f t="shared" si="6"/>
        <v>4244990</v>
      </c>
      <c r="AK16" s="21">
        <f t="shared" si="7"/>
        <v>1.1200000000000001</v>
      </c>
      <c r="AL16" s="45">
        <f t="shared" si="17"/>
        <v>657259</v>
      </c>
      <c r="AM16" s="14">
        <f t="shared" si="8"/>
        <v>0</v>
      </c>
      <c r="AN16" s="14">
        <f t="shared" si="9"/>
        <v>0</v>
      </c>
      <c r="AO16" s="14">
        <f t="shared" si="10"/>
        <v>0</v>
      </c>
      <c r="AP16" s="14"/>
      <c r="AQ16" s="14">
        <f t="shared" si="18"/>
        <v>657259</v>
      </c>
      <c r="AR16" s="14">
        <f t="shared" si="19"/>
        <v>171120</v>
      </c>
      <c r="AS16" s="14">
        <f t="shared" si="20"/>
        <v>22320</v>
      </c>
      <c r="AT16" s="14">
        <f t="shared" si="21"/>
        <v>106020</v>
      </c>
      <c r="AU16" s="14">
        <f t="shared" si="11"/>
        <v>324625</v>
      </c>
      <c r="AV16" s="14">
        <f t="shared" si="12"/>
        <v>299880</v>
      </c>
      <c r="AW16" s="14">
        <f t="shared" si="13"/>
        <v>15614</v>
      </c>
      <c r="AX16" s="14">
        <f t="shared" si="14"/>
        <v>5841828</v>
      </c>
      <c r="AY16" s="14">
        <v>5174660</v>
      </c>
      <c r="AZ16" s="14">
        <f t="shared" si="15"/>
        <v>667168</v>
      </c>
      <c r="BA16" s="2"/>
      <c r="BB16" s="14">
        <v>98508</v>
      </c>
      <c r="BC16" s="14">
        <v>13613</v>
      </c>
      <c r="BD16" s="2"/>
      <c r="BE16" s="64">
        <v>55</v>
      </c>
      <c r="BF16" s="64">
        <v>1.0980000000000001</v>
      </c>
    </row>
    <row r="17" spans="1:58" ht="15" x14ac:dyDescent="0.2">
      <c r="A17" s="20" t="s">
        <v>69</v>
      </c>
      <c r="B17" s="21" t="s">
        <v>129</v>
      </c>
      <c r="C17" s="45">
        <v>2814</v>
      </c>
      <c r="D17" s="45">
        <v>0</v>
      </c>
      <c r="E17" s="45">
        <v>196</v>
      </c>
      <c r="F17" s="45">
        <v>0</v>
      </c>
      <c r="G17" s="45">
        <v>46</v>
      </c>
      <c r="H17" s="45">
        <v>1</v>
      </c>
      <c r="I17" s="45">
        <v>0</v>
      </c>
      <c r="J17" s="45"/>
      <c r="K17" s="45">
        <v>12</v>
      </c>
      <c r="L17" s="21"/>
      <c r="M17" s="45">
        <v>0</v>
      </c>
      <c r="N17" s="21">
        <v>0</v>
      </c>
      <c r="O17" s="45"/>
      <c r="P17" s="45"/>
      <c r="Q17" s="45">
        <v>0</v>
      </c>
      <c r="R17" s="45">
        <v>0</v>
      </c>
      <c r="S17" s="45">
        <v>0</v>
      </c>
      <c r="T17" s="45">
        <v>0</v>
      </c>
      <c r="U17" s="45">
        <f t="shared" si="16"/>
        <v>3069</v>
      </c>
      <c r="V17" s="45">
        <v>0</v>
      </c>
      <c r="W17" s="45">
        <v>0</v>
      </c>
      <c r="X17" s="45">
        <v>0</v>
      </c>
      <c r="Y17" s="48">
        <f t="shared" si="0"/>
        <v>0</v>
      </c>
      <c r="Z17" s="45">
        <v>2624</v>
      </c>
      <c r="AA17" s="45">
        <f t="shared" si="1"/>
        <v>2824</v>
      </c>
      <c r="AB17" s="48">
        <v>1.109</v>
      </c>
      <c r="AC17" s="45">
        <f t="shared" si="2"/>
        <v>7296257</v>
      </c>
      <c r="AD17" s="62">
        <f t="shared" si="3"/>
        <v>1356040</v>
      </c>
      <c r="AE17" s="45">
        <f t="shared" si="4"/>
        <v>14870</v>
      </c>
      <c r="AF17" s="45">
        <f t="shared" si="5"/>
        <v>0</v>
      </c>
      <c r="AG17" s="45"/>
      <c r="AH17" s="45"/>
      <c r="AI17" s="45"/>
      <c r="AJ17" s="14">
        <f t="shared" si="6"/>
        <v>8667167</v>
      </c>
      <c r="AK17" s="21">
        <f t="shared" si="7"/>
        <v>1.1200000000000001</v>
      </c>
      <c r="AL17" s="45">
        <f t="shared" si="17"/>
        <v>0</v>
      </c>
      <c r="AM17" s="14">
        <f t="shared" si="8"/>
        <v>0</v>
      </c>
      <c r="AN17" s="14">
        <f t="shared" si="9"/>
        <v>0</v>
      </c>
      <c r="AO17" s="14">
        <f t="shared" si="10"/>
        <v>0</v>
      </c>
      <c r="AP17" s="14"/>
      <c r="AQ17" s="14">
        <f t="shared" si="18"/>
        <v>0</v>
      </c>
      <c r="AR17" s="14">
        <f t="shared" si="19"/>
        <v>282348</v>
      </c>
      <c r="AS17" s="14">
        <f t="shared" si="20"/>
        <v>36828</v>
      </c>
      <c r="AT17" s="14">
        <f t="shared" si="21"/>
        <v>174933</v>
      </c>
      <c r="AU17" s="14">
        <f t="shared" si="11"/>
        <v>534800</v>
      </c>
      <c r="AV17" s="14">
        <f t="shared" si="12"/>
        <v>470016</v>
      </c>
      <c r="AW17" s="14">
        <f t="shared" si="13"/>
        <v>33028</v>
      </c>
      <c r="AX17" s="14">
        <f t="shared" si="14"/>
        <v>10199120</v>
      </c>
      <c r="AY17" s="14">
        <v>9050102</v>
      </c>
      <c r="AZ17" s="14">
        <f t="shared" si="15"/>
        <v>1149018</v>
      </c>
      <c r="BA17" s="2"/>
      <c r="BB17" s="14">
        <v>216644</v>
      </c>
      <c r="BC17" s="14">
        <v>28352</v>
      </c>
      <c r="BD17" s="2"/>
      <c r="BE17" s="64">
        <v>56</v>
      </c>
      <c r="BF17" s="64">
        <v>1.0980000000000001</v>
      </c>
    </row>
    <row r="18" spans="1:58" ht="15" x14ac:dyDescent="0.2">
      <c r="A18" s="20" t="s">
        <v>69</v>
      </c>
      <c r="B18" s="21" t="s">
        <v>213</v>
      </c>
      <c r="C18" s="45">
        <v>35180</v>
      </c>
      <c r="D18" s="45">
        <v>8169</v>
      </c>
      <c r="E18" s="45">
        <v>1564</v>
      </c>
      <c r="F18" s="45">
        <v>39</v>
      </c>
      <c r="G18" s="45">
        <v>1112</v>
      </c>
      <c r="H18" s="45">
        <v>14</v>
      </c>
      <c r="I18" s="45">
        <v>9</v>
      </c>
      <c r="J18" s="45"/>
      <c r="K18" s="45">
        <v>179</v>
      </c>
      <c r="L18" s="21"/>
      <c r="M18" s="45">
        <v>131</v>
      </c>
      <c r="N18" s="21">
        <v>0</v>
      </c>
      <c r="O18" s="45"/>
      <c r="P18" s="45"/>
      <c r="Q18" s="45">
        <v>1473</v>
      </c>
      <c r="R18" s="45">
        <v>90</v>
      </c>
      <c r="S18" s="45">
        <v>169</v>
      </c>
      <c r="T18" s="45">
        <v>1253</v>
      </c>
      <c r="U18" s="45">
        <f t="shared" si="16"/>
        <v>48129</v>
      </c>
      <c r="V18" s="45">
        <v>0</v>
      </c>
      <c r="W18" s="45">
        <v>1</v>
      </c>
      <c r="X18" s="45">
        <v>1</v>
      </c>
      <c r="Y18" s="48">
        <f t="shared" si="0"/>
        <v>0</v>
      </c>
      <c r="Z18" s="45">
        <v>2381</v>
      </c>
      <c r="AA18" s="45">
        <f t="shared" si="1"/>
        <v>2562</v>
      </c>
      <c r="AB18" s="48">
        <v>1</v>
      </c>
      <c r="AC18" s="45">
        <f t="shared" si="2"/>
        <v>82250840</v>
      </c>
      <c r="AD18" s="62">
        <f t="shared" si="3"/>
        <v>17843616</v>
      </c>
      <c r="AE18" s="45">
        <f t="shared" si="4"/>
        <v>221806</v>
      </c>
      <c r="AF18" s="45">
        <f t="shared" si="5"/>
        <v>306278</v>
      </c>
      <c r="AG18" s="45"/>
      <c r="AH18" s="45"/>
      <c r="AI18" s="45"/>
      <c r="AJ18" s="14">
        <f t="shared" si="6"/>
        <v>100622540</v>
      </c>
      <c r="AK18" s="21">
        <f t="shared" si="7"/>
        <v>1</v>
      </c>
      <c r="AL18" s="45">
        <f t="shared" si="17"/>
        <v>19099122</v>
      </c>
      <c r="AM18" s="14">
        <f t="shared" si="8"/>
        <v>330359</v>
      </c>
      <c r="AN18" s="14">
        <f t="shared" si="9"/>
        <v>3236237</v>
      </c>
      <c r="AO18" s="14">
        <f t="shared" si="10"/>
        <v>0</v>
      </c>
      <c r="AP18" s="14"/>
      <c r="AQ18" s="14">
        <f t="shared" si="18"/>
        <v>22665718</v>
      </c>
      <c r="AR18" s="14">
        <f t="shared" si="19"/>
        <v>4427868</v>
      </c>
      <c r="AS18" s="14">
        <f t="shared" si="20"/>
        <v>577548</v>
      </c>
      <c r="AT18" s="14">
        <f t="shared" si="21"/>
        <v>2731543</v>
      </c>
      <c r="AU18" s="14">
        <f t="shared" si="11"/>
        <v>8062775</v>
      </c>
      <c r="AV18" s="14">
        <f t="shared" si="12"/>
        <v>7558934</v>
      </c>
      <c r="AW18" s="14">
        <f t="shared" si="13"/>
        <v>369235</v>
      </c>
      <c r="AX18" s="14">
        <f t="shared" si="14"/>
        <v>147016161</v>
      </c>
      <c r="AY18" s="14">
        <v>139218501</v>
      </c>
      <c r="AZ18" s="14">
        <f t="shared" si="15"/>
        <v>7797660</v>
      </c>
      <c r="BA18" s="2"/>
      <c r="BB18" s="14">
        <v>3224948</v>
      </c>
      <c r="BC18" s="14">
        <v>491412</v>
      </c>
      <c r="BD18" s="2"/>
      <c r="BE18" s="64">
        <v>57</v>
      </c>
      <c r="BF18" s="64">
        <v>1.097</v>
      </c>
    </row>
    <row r="19" spans="1:58" ht="15" x14ac:dyDescent="0.2">
      <c r="A19" s="20" t="s">
        <v>69</v>
      </c>
      <c r="B19" s="21" t="s">
        <v>128</v>
      </c>
      <c r="C19" s="45">
        <v>2459</v>
      </c>
      <c r="D19" s="45">
        <v>0</v>
      </c>
      <c r="E19" s="45">
        <v>119</v>
      </c>
      <c r="F19" s="45">
        <v>0</v>
      </c>
      <c r="G19" s="45">
        <v>64</v>
      </c>
      <c r="H19" s="45">
        <v>1</v>
      </c>
      <c r="I19" s="45">
        <v>0</v>
      </c>
      <c r="J19" s="45"/>
      <c r="K19" s="45">
        <v>12</v>
      </c>
      <c r="L19" s="21"/>
      <c r="M19" s="45">
        <v>0</v>
      </c>
      <c r="N19" s="21">
        <v>0</v>
      </c>
      <c r="O19" s="45"/>
      <c r="P19" s="45"/>
      <c r="Q19" s="45">
        <v>0</v>
      </c>
      <c r="R19" s="45">
        <v>0</v>
      </c>
      <c r="S19" s="45">
        <v>0</v>
      </c>
      <c r="T19" s="45">
        <v>0</v>
      </c>
      <c r="U19" s="45">
        <f t="shared" si="16"/>
        <v>2655</v>
      </c>
      <c r="V19" s="45">
        <v>0</v>
      </c>
      <c r="W19" s="45">
        <v>0</v>
      </c>
      <c r="X19" s="45">
        <v>0</v>
      </c>
      <c r="Y19" s="48">
        <f t="shared" si="0"/>
        <v>0</v>
      </c>
      <c r="Z19" s="45">
        <v>2449</v>
      </c>
      <c r="AA19" s="45">
        <f t="shared" si="1"/>
        <v>2610</v>
      </c>
      <c r="AB19" s="48">
        <v>1</v>
      </c>
      <c r="AC19" s="45">
        <f t="shared" si="2"/>
        <v>5749142</v>
      </c>
      <c r="AD19" s="62">
        <f t="shared" si="3"/>
        <v>1164324</v>
      </c>
      <c r="AE19" s="45">
        <f t="shared" si="4"/>
        <v>14870</v>
      </c>
      <c r="AF19" s="45">
        <f t="shared" si="5"/>
        <v>0</v>
      </c>
      <c r="AG19" s="45"/>
      <c r="AH19" s="45"/>
      <c r="AI19" s="45"/>
      <c r="AJ19" s="14">
        <f t="shared" si="6"/>
        <v>6928336</v>
      </c>
      <c r="AK19" s="21">
        <f t="shared" si="7"/>
        <v>1.1200000000000001</v>
      </c>
      <c r="AL19" s="45">
        <f t="shared" si="17"/>
        <v>0</v>
      </c>
      <c r="AM19" s="14">
        <f t="shared" si="8"/>
        <v>0</v>
      </c>
      <c r="AN19" s="14">
        <f t="shared" si="9"/>
        <v>0</v>
      </c>
      <c r="AO19" s="14">
        <f t="shared" si="10"/>
        <v>0</v>
      </c>
      <c r="AP19" s="14"/>
      <c r="AQ19" s="14">
        <f t="shared" si="18"/>
        <v>0</v>
      </c>
      <c r="AR19" s="14">
        <f t="shared" si="19"/>
        <v>244260</v>
      </c>
      <c r="AS19" s="14">
        <f t="shared" si="20"/>
        <v>31860</v>
      </c>
      <c r="AT19" s="14">
        <f t="shared" si="21"/>
        <v>151335</v>
      </c>
      <c r="AU19" s="14">
        <f t="shared" si="11"/>
        <v>462350</v>
      </c>
      <c r="AV19" s="14">
        <f t="shared" si="12"/>
        <v>463896</v>
      </c>
      <c r="AW19" s="14">
        <f t="shared" si="13"/>
        <v>25765</v>
      </c>
      <c r="AX19" s="14">
        <f t="shared" si="14"/>
        <v>8307802</v>
      </c>
      <c r="AY19" s="14">
        <v>7747569</v>
      </c>
      <c r="AZ19" s="14">
        <f t="shared" si="15"/>
        <v>560233</v>
      </c>
      <c r="BA19" s="2"/>
      <c r="BB19" s="14">
        <v>118705</v>
      </c>
      <c r="BC19" s="14">
        <v>23347</v>
      </c>
      <c r="BD19" s="2"/>
      <c r="BE19" s="64">
        <v>58</v>
      </c>
      <c r="BF19" s="64">
        <v>1.097</v>
      </c>
    </row>
    <row r="20" spans="1:58" ht="15" x14ac:dyDescent="0.2">
      <c r="A20" s="20" t="s">
        <v>67</v>
      </c>
      <c r="B20" s="21" t="s">
        <v>217</v>
      </c>
      <c r="C20" s="45">
        <v>597</v>
      </c>
      <c r="D20" s="45">
        <v>0</v>
      </c>
      <c r="E20" s="45">
        <v>67</v>
      </c>
      <c r="F20" s="45">
        <v>0</v>
      </c>
      <c r="G20" s="45">
        <v>21</v>
      </c>
      <c r="H20" s="45">
        <v>2</v>
      </c>
      <c r="I20" s="45">
        <v>0</v>
      </c>
      <c r="J20" s="45"/>
      <c r="K20" s="45">
        <v>3</v>
      </c>
      <c r="L20" s="21"/>
      <c r="M20" s="45">
        <v>1</v>
      </c>
      <c r="N20" s="21">
        <v>0</v>
      </c>
      <c r="O20" s="45"/>
      <c r="P20" s="45"/>
      <c r="Q20" s="45">
        <v>0</v>
      </c>
      <c r="R20" s="45">
        <v>0</v>
      </c>
      <c r="S20" s="45">
        <v>0</v>
      </c>
      <c r="T20" s="45">
        <v>0</v>
      </c>
      <c r="U20" s="45">
        <f t="shared" si="16"/>
        <v>691</v>
      </c>
      <c r="V20" s="45">
        <v>0</v>
      </c>
      <c r="W20" s="45">
        <v>0</v>
      </c>
      <c r="X20" s="45">
        <v>0</v>
      </c>
      <c r="Y20" s="48">
        <f t="shared" si="0"/>
        <v>0</v>
      </c>
      <c r="Z20" s="45">
        <v>3538</v>
      </c>
      <c r="AA20" s="45">
        <f t="shared" si="1"/>
        <v>3801</v>
      </c>
      <c r="AB20" s="48">
        <v>1.4990000000000001</v>
      </c>
      <c r="AC20" s="45">
        <f t="shared" si="2"/>
        <v>2092283</v>
      </c>
      <c r="AD20" s="62">
        <f t="shared" si="3"/>
        <v>528388</v>
      </c>
      <c r="AE20" s="45">
        <f t="shared" si="4"/>
        <v>3717</v>
      </c>
      <c r="AF20" s="45">
        <f t="shared" si="5"/>
        <v>2338</v>
      </c>
      <c r="AG20" s="45"/>
      <c r="AH20" s="45"/>
      <c r="AI20" s="45"/>
      <c r="AJ20" s="14">
        <f t="shared" si="6"/>
        <v>2626726</v>
      </c>
      <c r="AK20" s="21">
        <f t="shared" si="7"/>
        <v>1.1200000000000001</v>
      </c>
      <c r="AL20" s="45">
        <f t="shared" si="17"/>
        <v>0</v>
      </c>
      <c r="AM20" s="14">
        <f t="shared" si="8"/>
        <v>0</v>
      </c>
      <c r="AN20" s="14">
        <f t="shared" si="9"/>
        <v>0</v>
      </c>
      <c r="AO20" s="14">
        <f t="shared" si="10"/>
        <v>0</v>
      </c>
      <c r="AP20" s="14"/>
      <c r="AQ20" s="14">
        <f t="shared" si="18"/>
        <v>0</v>
      </c>
      <c r="AR20" s="14">
        <f t="shared" si="19"/>
        <v>118281</v>
      </c>
      <c r="AS20" s="14">
        <f t="shared" si="20"/>
        <v>14384</v>
      </c>
      <c r="AT20" s="14">
        <f t="shared" si="21"/>
        <v>39387</v>
      </c>
      <c r="AU20" s="14">
        <f t="shared" si="11"/>
        <v>119875</v>
      </c>
      <c r="AV20" s="14">
        <f t="shared" si="12"/>
        <v>194616</v>
      </c>
      <c r="AW20" s="14">
        <f t="shared" si="13"/>
        <v>10037</v>
      </c>
      <c r="AX20" s="14">
        <f t="shared" si="14"/>
        <v>3123306</v>
      </c>
      <c r="AY20" s="14">
        <v>3025362</v>
      </c>
      <c r="AZ20" s="14">
        <f t="shared" si="15"/>
        <v>97944</v>
      </c>
      <c r="BA20" s="2"/>
      <c r="BB20" s="14">
        <v>118281</v>
      </c>
      <c r="BC20" s="14">
        <v>14384</v>
      </c>
      <c r="BD20" s="2"/>
      <c r="BE20" s="64">
        <v>59</v>
      </c>
      <c r="BF20" s="64">
        <v>1.0960000000000001</v>
      </c>
    </row>
    <row r="21" spans="1:58" ht="15" x14ac:dyDescent="0.2">
      <c r="A21" s="20" t="s">
        <v>58</v>
      </c>
      <c r="B21" s="21" t="s">
        <v>218</v>
      </c>
      <c r="C21" s="45">
        <v>324</v>
      </c>
      <c r="D21" s="45">
        <v>20</v>
      </c>
      <c r="E21" s="45">
        <v>29</v>
      </c>
      <c r="F21" s="45">
        <v>0</v>
      </c>
      <c r="G21" s="45">
        <v>16</v>
      </c>
      <c r="H21" s="45">
        <v>0</v>
      </c>
      <c r="I21" s="45">
        <v>0</v>
      </c>
      <c r="J21" s="45"/>
      <c r="K21" s="45">
        <v>0</v>
      </c>
      <c r="L21" s="21"/>
      <c r="M21" s="45">
        <v>0</v>
      </c>
      <c r="N21" s="21">
        <v>0</v>
      </c>
      <c r="O21" s="45"/>
      <c r="P21" s="45"/>
      <c r="Q21" s="45">
        <v>0</v>
      </c>
      <c r="R21" s="45">
        <v>0</v>
      </c>
      <c r="S21" s="45">
        <v>0</v>
      </c>
      <c r="T21" s="45">
        <v>0</v>
      </c>
      <c r="U21" s="45">
        <f t="shared" si="16"/>
        <v>389</v>
      </c>
      <c r="V21" s="45">
        <v>0</v>
      </c>
      <c r="W21" s="45">
        <v>0</v>
      </c>
      <c r="X21" s="45">
        <v>0</v>
      </c>
      <c r="Y21" s="48">
        <f t="shared" si="0"/>
        <v>0</v>
      </c>
      <c r="Z21" s="45">
        <v>3984</v>
      </c>
      <c r="AA21" s="45">
        <f t="shared" si="1"/>
        <v>4322</v>
      </c>
      <c r="AB21" s="48">
        <v>1.774</v>
      </c>
      <c r="AC21" s="45">
        <f t="shared" si="2"/>
        <v>1343826</v>
      </c>
      <c r="AD21" s="62">
        <f t="shared" si="3"/>
        <v>285236</v>
      </c>
      <c r="AE21" s="45">
        <f t="shared" si="4"/>
        <v>0</v>
      </c>
      <c r="AF21" s="45">
        <f t="shared" si="5"/>
        <v>0</v>
      </c>
      <c r="AG21" s="45"/>
      <c r="AH21" s="45"/>
      <c r="AI21" s="45"/>
      <c r="AJ21" s="14">
        <f t="shared" si="6"/>
        <v>1629062</v>
      </c>
      <c r="AK21" s="21">
        <f t="shared" si="7"/>
        <v>1.1200000000000001</v>
      </c>
      <c r="AL21" s="45">
        <f t="shared" si="17"/>
        <v>52371</v>
      </c>
      <c r="AM21" s="14">
        <f t="shared" si="8"/>
        <v>0</v>
      </c>
      <c r="AN21" s="14">
        <f t="shared" si="9"/>
        <v>0</v>
      </c>
      <c r="AO21" s="14">
        <f t="shared" si="10"/>
        <v>0</v>
      </c>
      <c r="AP21" s="14"/>
      <c r="AQ21" s="14">
        <f t="shared" si="18"/>
        <v>52371</v>
      </c>
      <c r="AR21" s="14">
        <f t="shared" si="19"/>
        <v>64422</v>
      </c>
      <c r="AS21" s="14">
        <f t="shared" si="20"/>
        <v>7413</v>
      </c>
      <c r="AT21" s="14">
        <f t="shared" si="21"/>
        <v>22173</v>
      </c>
      <c r="AU21" s="14">
        <f t="shared" si="11"/>
        <v>68075</v>
      </c>
      <c r="AV21" s="14">
        <f t="shared" si="12"/>
        <v>113832</v>
      </c>
      <c r="AW21" s="14">
        <f t="shared" si="13"/>
        <v>6352</v>
      </c>
      <c r="AX21" s="14">
        <f t="shared" si="14"/>
        <v>1963700</v>
      </c>
      <c r="AY21" s="14">
        <v>1873855</v>
      </c>
      <c r="AZ21" s="14">
        <f t="shared" si="15"/>
        <v>89845</v>
      </c>
      <c r="BA21" s="2"/>
      <c r="BB21" s="14">
        <v>64422</v>
      </c>
      <c r="BC21" s="14">
        <v>7413</v>
      </c>
      <c r="BD21" s="2"/>
      <c r="BE21" s="64">
        <v>60</v>
      </c>
      <c r="BF21" s="64">
        <v>1.0960000000000001</v>
      </c>
    </row>
    <row r="22" spans="1:58" ht="15" x14ac:dyDescent="0.2">
      <c r="A22" s="20" t="s">
        <v>58</v>
      </c>
      <c r="B22" s="21" t="s">
        <v>127</v>
      </c>
      <c r="C22" s="45">
        <v>1048</v>
      </c>
      <c r="D22" s="45">
        <v>0</v>
      </c>
      <c r="E22" s="45">
        <v>50</v>
      </c>
      <c r="F22" s="45">
        <v>0</v>
      </c>
      <c r="G22" s="45">
        <v>22</v>
      </c>
      <c r="H22" s="45">
        <v>0</v>
      </c>
      <c r="I22" s="45">
        <v>0</v>
      </c>
      <c r="J22" s="45"/>
      <c r="K22" s="45">
        <v>1</v>
      </c>
      <c r="L22" s="21"/>
      <c r="M22" s="45">
        <v>0</v>
      </c>
      <c r="N22" s="21">
        <v>0</v>
      </c>
      <c r="O22" s="45"/>
      <c r="P22" s="45"/>
      <c r="Q22" s="45">
        <v>0</v>
      </c>
      <c r="R22" s="45">
        <v>0</v>
      </c>
      <c r="S22" s="45">
        <v>0</v>
      </c>
      <c r="T22" s="45">
        <v>0</v>
      </c>
      <c r="U22" s="45">
        <f t="shared" si="16"/>
        <v>1121</v>
      </c>
      <c r="V22" s="45">
        <v>0</v>
      </c>
      <c r="W22" s="45">
        <v>0</v>
      </c>
      <c r="X22" s="45">
        <v>0</v>
      </c>
      <c r="Y22" s="48">
        <f t="shared" si="0"/>
        <v>0</v>
      </c>
      <c r="Z22" s="45">
        <v>2602</v>
      </c>
      <c r="AA22" s="45">
        <f t="shared" si="1"/>
        <v>2776</v>
      </c>
      <c r="AB22" s="48">
        <v>1.0900000000000001</v>
      </c>
      <c r="AC22" s="45">
        <f t="shared" si="2"/>
        <v>2670744</v>
      </c>
      <c r="AD22" s="62">
        <f t="shared" si="3"/>
        <v>439544</v>
      </c>
      <c r="AE22" s="45">
        <f t="shared" si="4"/>
        <v>1239</v>
      </c>
      <c r="AF22" s="45">
        <f t="shared" si="5"/>
        <v>0</v>
      </c>
      <c r="AG22" s="45"/>
      <c r="AH22" s="45"/>
      <c r="AI22" s="45"/>
      <c r="AJ22" s="14">
        <f t="shared" si="6"/>
        <v>3111527</v>
      </c>
      <c r="AK22" s="21">
        <f t="shared" si="7"/>
        <v>1.1200000000000001</v>
      </c>
      <c r="AL22" s="45">
        <f t="shared" si="17"/>
        <v>0</v>
      </c>
      <c r="AM22" s="14">
        <f t="shared" si="8"/>
        <v>0</v>
      </c>
      <c r="AN22" s="14">
        <f t="shared" si="9"/>
        <v>0</v>
      </c>
      <c r="AO22" s="14">
        <f t="shared" si="10"/>
        <v>0</v>
      </c>
      <c r="AP22" s="14"/>
      <c r="AQ22" s="14">
        <f t="shared" si="18"/>
        <v>0</v>
      </c>
      <c r="AR22" s="14">
        <f t="shared" si="19"/>
        <v>111076</v>
      </c>
      <c r="AS22" s="14">
        <f t="shared" si="20"/>
        <v>17529</v>
      </c>
      <c r="AT22" s="14">
        <f t="shared" si="21"/>
        <v>63897</v>
      </c>
      <c r="AU22" s="14">
        <f t="shared" si="11"/>
        <v>196000</v>
      </c>
      <c r="AV22" s="14">
        <f t="shared" si="12"/>
        <v>168912</v>
      </c>
      <c r="AW22" s="14">
        <f t="shared" si="13"/>
        <v>11857</v>
      </c>
      <c r="AX22" s="14">
        <f t="shared" si="14"/>
        <v>3680798</v>
      </c>
      <c r="AY22" s="14">
        <v>3480853</v>
      </c>
      <c r="AZ22" s="14">
        <f t="shared" si="15"/>
        <v>199945</v>
      </c>
      <c r="BA22" s="2"/>
      <c r="BB22" s="14">
        <v>111076</v>
      </c>
      <c r="BC22" s="14">
        <v>17529</v>
      </c>
      <c r="BD22" s="2"/>
      <c r="BE22" s="64">
        <v>61</v>
      </c>
      <c r="BF22" s="64">
        <v>1.095</v>
      </c>
    </row>
    <row r="23" spans="1:58" ht="15" x14ac:dyDescent="0.2">
      <c r="A23" s="20" t="s">
        <v>58</v>
      </c>
      <c r="B23" s="21" t="s">
        <v>57</v>
      </c>
      <c r="C23" s="45">
        <v>1970</v>
      </c>
      <c r="D23" s="45">
        <v>0</v>
      </c>
      <c r="E23" s="45">
        <v>186</v>
      </c>
      <c r="F23" s="45">
        <v>0</v>
      </c>
      <c r="G23" s="45">
        <v>46</v>
      </c>
      <c r="H23" s="45">
        <v>7</v>
      </c>
      <c r="I23" s="45">
        <v>0</v>
      </c>
      <c r="J23" s="45"/>
      <c r="K23" s="45">
        <v>2</v>
      </c>
      <c r="L23" s="21"/>
      <c r="M23" s="45">
        <v>31</v>
      </c>
      <c r="N23" s="21">
        <v>0</v>
      </c>
      <c r="O23" s="45"/>
      <c r="P23" s="45"/>
      <c r="Q23" s="45">
        <v>115</v>
      </c>
      <c r="R23" s="45">
        <v>0</v>
      </c>
      <c r="S23" s="45">
        <v>12</v>
      </c>
      <c r="T23" s="45">
        <v>47</v>
      </c>
      <c r="U23" s="45">
        <f t="shared" si="16"/>
        <v>2369</v>
      </c>
      <c r="V23" s="45">
        <v>13</v>
      </c>
      <c r="W23" s="45">
        <v>1</v>
      </c>
      <c r="X23" s="45">
        <v>1</v>
      </c>
      <c r="Y23" s="48">
        <f t="shared" si="0"/>
        <v>0</v>
      </c>
      <c r="Z23" s="45">
        <v>2476</v>
      </c>
      <c r="AA23" s="45">
        <f t="shared" si="1"/>
        <v>2711</v>
      </c>
      <c r="AB23" s="48">
        <v>1.03</v>
      </c>
      <c r="AC23" s="45">
        <f t="shared" si="2"/>
        <v>4744036</v>
      </c>
      <c r="AD23" s="62">
        <f t="shared" si="3"/>
        <v>1365392</v>
      </c>
      <c r="AE23" s="45">
        <f t="shared" si="4"/>
        <v>2478</v>
      </c>
      <c r="AF23" s="45">
        <f t="shared" si="5"/>
        <v>72478</v>
      </c>
      <c r="AG23" s="45"/>
      <c r="AH23" s="45"/>
      <c r="AI23" s="45"/>
      <c r="AJ23" s="14">
        <f t="shared" si="6"/>
        <v>6184384</v>
      </c>
      <c r="AK23" s="21">
        <f t="shared" si="7"/>
        <v>1.1200000000000001</v>
      </c>
      <c r="AL23" s="45">
        <f t="shared" si="17"/>
        <v>0</v>
      </c>
      <c r="AM23" s="14">
        <f t="shared" si="8"/>
        <v>0</v>
      </c>
      <c r="AN23" s="14">
        <f t="shared" si="9"/>
        <v>238920</v>
      </c>
      <c r="AO23" s="14">
        <f t="shared" si="10"/>
        <v>0</v>
      </c>
      <c r="AP23" s="14"/>
      <c r="AQ23" s="14">
        <f t="shared" si="18"/>
        <v>238920</v>
      </c>
      <c r="AR23" s="14">
        <f t="shared" si="19"/>
        <v>316860</v>
      </c>
      <c r="AS23" s="14">
        <f t="shared" si="20"/>
        <v>43499</v>
      </c>
      <c r="AT23" s="14">
        <f t="shared" si="21"/>
        <v>134486</v>
      </c>
      <c r="AU23" s="14">
        <f t="shared" si="11"/>
        <v>385350</v>
      </c>
      <c r="AV23" s="14">
        <f t="shared" si="12"/>
        <v>504777</v>
      </c>
      <c r="AW23" s="14">
        <f t="shared" si="13"/>
        <v>22100</v>
      </c>
      <c r="AX23" s="14">
        <f t="shared" si="14"/>
        <v>7830376</v>
      </c>
      <c r="AY23" s="14">
        <v>7196210</v>
      </c>
      <c r="AZ23" s="14">
        <f t="shared" si="15"/>
        <v>634166</v>
      </c>
      <c r="BA23" s="2"/>
      <c r="BB23" s="14">
        <v>316860</v>
      </c>
      <c r="BC23" s="14">
        <v>43499</v>
      </c>
      <c r="BD23" s="2"/>
      <c r="BE23" s="64">
        <v>62</v>
      </c>
      <c r="BF23" s="64">
        <v>1.095</v>
      </c>
    </row>
    <row r="24" spans="1:58" ht="15" x14ac:dyDescent="0.2">
      <c r="A24" s="20" t="s">
        <v>58</v>
      </c>
      <c r="B24" s="21" t="s">
        <v>126</v>
      </c>
      <c r="C24" s="45">
        <v>49</v>
      </c>
      <c r="D24" s="45">
        <v>0</v>
      </c>
      <c r="E24" s="45">
        <v>3</v>
      </c>
      <c r="F24" s="45">
        <v>0</v>
      </c>
      <c r="G24" s="45">
        <v>1</v>
      </c>
      <c r="H24" s="45">
        <v>0</v>
      </c>
      <c r="I24" s="45">
        <v>0</v>
      </c>
      <c r="J24" s="45"/>
      <c r="K24" s="45">
        <v>0</v>
      </c>
      <c r="L24" s="21"/>
      <c r="M24" s="45">
        <v>0</v>
      </c>
      <c r="N24" s="21">
        <v>0</v>
      </c>
      <c r="O24" s="45"/>
      <c r="P24" s="45"/>
      <c r="Q24" s="45">
        <v>0</v>
      </c>
      <c r="R24" s="45">
        <v>0</v>
      </c>
      <c r="S24" s="45">
        <v>0</v>
      </c>
      <c r="T24" s="45">
        <v>0</v>
      </c>
      <c r="U24" s="45">
        <f t="shared" si="16"/>
        <v>53</v>
      </c>
      <c r="V24" s="45">
        <v>0</v>
      </c>
      <c r="W24" s="45">
        <v>0</v>
      </c>
      <c r="X24" s="45">
        <v>0</v>
      </c>
      <c r="Y24" s="48">
        <f t="shared" si="0"/>
        <v>0</v>
      </c>
      <c r="Z24" s="45">
        <v>3178</v>
      </c>
      <c r="AA24" s="45">
        <f t="shared" si="1"/>
        <v>3433</v>
      </c>
      <c r="AB24" s="48">
        <v>1.3839999999999999</v>
      </c>
      <c r="AC24" s="45">
        <f t="shared" si="2"/>
        <v>158554</v>
      </c>
      <c r="AD24" s="62">
        <f t="shared" si="3"/>
        <v>23380</v>
      </c>
      <c r="AE24" s="45">
        <f t="shared" si="4"/>
        <v>0</v>
      </c>
      <c r="AF24" s="45">
        <f t="shared" si="5"/>
        <v>0</v>
      </c>
      <c r="AG24" s="45"/>
      <c r="AH24" s="45"/>
      <c r="AI24" s="45"/>
      <c r="AJ24" s="14">
        <f t="shared" si="6"/>
        <v>181934</v>
      </c>
      <c r="AK24" s="21">
        <f t="shared" si="7"/>
        <v>1.1200000000000001</v>
      </c>
      <c r="AL24" s="45">
        <f t="shared" si="17"/>
        <v>0</v>
      </c>
      <c r="AM24" s="14">
        <f t="shared" si="8"/>
        <v>0</v>
      </c>
      <c r="AN24" s="14">
        <f t="shared" si="9"/>
        <v>0</v>
      </c>
      <c r="AO24" s="14">
        <f t="shared" si="10"/>
        <v>0</v>
      </c>
      <c r="AP24" s="14">
        <f>ROUND(D24*C$88*AP$84,0)</f>
        <v>0</v>
      </c>
      <c r="AQ24" s="14">
        <f t="shared" si="18"/>
        <v>0</v>
      </c>
      <c r="AR24" s="14">
        <f t="shared" si="19"/>
        <v>108628</v>
      </c>
      <c r="AS24" s="14">
        <f t="shared" si="20"/>
        <v>13834</v>
      </c>
      <c r="AT24" s="14">
        <f t="shared" si="21"/>
        <v>3021</v>
      </c>
      <c r="AU24" s="14">
        <f t="shared" si="11"/>
        <v>9275</v>
      </c>
      <c r="AV24" s="14">
        <f t="shared" si="12"/>
        <v>8568</v>
      </c>
      <c r="AW24" s="14">
        <f t="shared" si="13"/>
        <v>712</v>
      </c>
      <c r="AX24" s="14">
        <f t="shared" si="14"/>
        <v>325972</v>
      </c>
      <c r="AY24" s="14">
        <v>2517210</v>
      </c>
      <c r="AZ24" s="14">
        <f t="shared" si="15"/>
        <v>-2191238</v>
      </c>
      <c r="BA24" s="2"/>
      <c r="BB24" s="14">
        <v>108628</v>
      </c>
      <c r="BC24" s="14">
        <v>13834</v>
      </c>
      <c r="BD24" s="2"/>
      <c r="BE24" s="64">
        <v>63</v>
      </c>
      <c r="BF24" s="64">
        <v>1.0940000000000001</v>
      </c>
    </row>
    <row r="25" spans="1:58" ht="15" x14ac:dyDescent="0.2">
      <c r="A25" s="20" t="s">
        <v>58</v>
      </c>
      <c r="B25" s="21" t="s">
        <v>59</v>
      </c>
      <c r="C25" s="45">
        <v>3443</v>
      </c>
      <c r="D25" s="45">
        <v>123</v>
      </c>
      <c r="E25" s="45">
        <v>213</v>
      </c>
      <c r="F25" s="45">
        <v>0</v>
      </c>
      <c r="G25" s="45">
        <v>100</v>
      </c>
      <c r="H25" s="45">
        <v>8</v>
      </c>
      <c r="I25" s="45">
        <v>0</v>
      </c>
      <c r="J25" s="45"/>
      <c r="K25" s="45">
        <v>7</v>
      </c>
      <c r="L25" s="21"/>
      <c r="M25" s="45">
        <v>16</v>
      </c>
      <c r="N25" s="21">
        <v>1</v>
      </c>
      <c r="O25" s="45"/>
      <c r="P25" s="45"/>
      <c r="Q25" s="45">
        <v>420</v>
      </c>
      <c r="R25" s="45">
        <v>34</v>
      </c>
      <c r="S25" s="45">
        <v>1245</v>
      </c>
      <c r="T25" s="45">
        <v>3302</v>
      </c>
      <c r="U25" s="45">
        <f t="shared" si="16"/>
        <v>5610</v>
      </c>
      <c r="V25" s="45">
        <v>0</v>
      </c>
      <c r="W25" s="45">
        <v>0</v>
      </c>
      <c r="X25" s="45">
        <v>0</v>
      </c>
      <c r="Y25" s="48">
        <f t="shared" si="0"/>
        <v>6.6000000000000059E-2</v>
      </c>
      <c r="Z25" s="45">
        <v>2267</v>
      </c>
      <c r="AA25" s="45">
        <f t="shared" si="1"/>
        <v>2127</v>
      </c>
      <c r="AB25" s="48">
        <v>1.01</v>
      </c>
      <c r="AC25" s="45">
        <f t="shared" si="2"/>
        <v>8130231</v>
      </c>
      <c r="AD25" s="62">
        <f t="shared" si="3"/>
        <v>2006004</v>
      </c>
      <c r="AE25" s="45">
        <f t="shared" si="4"/>
        <v>8674</v>
      </c>
      <c r="AF25" s="45">
        <f t="shared" si="5"/>
        <v>38133</v>
      </c>
      <c r="AG25" s="45"/>
      <c r="AH25" s="45"/>
      <c r="AI25" s="45"/>
      <c r="AJ25" s="14">
        <f t="shared" si="6"/>
        <v>10183042</v>
      </c>
      <c r="AK25" s="21">
        <f t="shared" si="7"/>
        <v>1.1200000000000001</v>
      </c>
      <c r="AL25" s="45">
        <f t="shared" si="17"/>
        <v>322083</v>
      </c>
      <c r="AM25" s="14">
        <f t="shared" si="8"/>
        <v>0</v>
      </c>
      <c r="AN25" s="14">
        <f t="shared" si="9"/>
        <v>1411123</v>
      </c>
      <c r="AO25" s="14">
        <f t="shared" si="10"/>
        <v>18980</v>
      </c>
      <c r="AP25" s="14"/>
      <c r="AQ25" s="14">
        <f t="shared" si="18"/>
        <v>1752186</v>
      </c>
      <c r="AR25" s="14">
        <f t="shared" si="19"/>
        <v>516120</v>
      </c>
      <c r="AS25" s="14">
        <f t="shared" si="20"/>
        <v>70301</v>
      </c>
      <c r="AT25" s="14">
        <f t="shared" si="21"/>
        <v>261402</v>
      </c>
      <c r="AU25" s="14">
        <f t="shared" si="11"/>
        <v>678825</v>
      </c>
      <c r="AV25" s="14">
        <f t="shared" si="12"/>
        <v>789480</v>
      </c>
      <c r="AW25" s="14">
        <f t="shared" si="13"/>
        <v>36961</v>
      </c>
      <c r="AX25" s="14">
        <f t="shared" si="14"/>
        <v>14288317</v>
      </c>
      <c r="AY25" s="14">
        <v>14423291</v>
      </c>
      <c r="AZ25" s="14">
        <f t="shared" si="15"/>
        <v>-134974</v>
      </c>
      <c r="BA25" s="2"/>
      <c r="BB25" s="14">
        <v>457048</v>
      </c>
      <c r="BC25" s="14">
        <v>70301</v>
      </c>
      <c r="BD25" s="2"/>
      <c r="BE25" s="64">
        <v>64</v>
      </c>
      <c r="BF25" s="64">
        <v>1.0940000000000001</v>
      </c>
    </row>
    <row r="26" spans="1:58" ht="15" x14ac:dyDescent="0.2">
      <c r="A26" s="20" t="s">
        <v>58</v>
      </c>
      <c r="B26" s="21" t="s">
        <v>62</v>
      </c>
      <c r="C26" s="45">
        <v>203</v>
      </c>
      <c r="D26" s="45">
        <v>0</v>
      </c>
      <c r="E26" s="45">
        <v>15</v>
      </c>
      <c r="F26" s="45">
        <v>0</v>
      </c>
      <c r="G26" s="45">
        <v>4</v>
      </c>
      <c r="H26" s="45">
        <v>0</v>
      </c>
      <c r="I26" s="45">
        <v>0</v>
      </c>
      <c r="J26" s="45"/>
      <c r="K26" s="45">
        <v>0</v>
      </c>
      <c r="L26" s="21"/>
      <c r="M26" s="45">
        <v>0</v>
      </c>
      <c r="N26" s="21">
        <v>0</v>
      </c>
      <c r="O26" s="45"/>
      <c r="P26" s="45"/>
      <c r="Q26" s="45">
        <v>0</v>
      </c>
      <c r="R26" s="45">
        <v>0</v>
      </c>
      <c r="S26" s="45">
        <v>0</v>
      </c>
      <c r="T26" s="45">
        <v>0</v>
      </c>
      <c r="U26" s="45">
        <f t="shared" si="16"/>
        <v>222</v>
      </c>
      <c r="V26" s="45">
        <v>0</v>
      </c>
      <c r="W26" s="45">
        <v>0</v>
      </c>
      <c r="X26" s="45">
        <v>0</v>
      </c>
      <c r="Y26" s="48">
        <f t="shared" si="0"/>
        <v>0</v>
      </c>
      <c r="Z26" s="45">
        <v>4362</v>
      </c>
      <c r="AA26" s="45">
        <f t="shared" si="1"/>
        <v>4572</v>
      </c>
      <c r="AB26" s="48">
        <v>1.9119999999999999</v>
      </c>
      <c r="AC26" s="45">
        <f t="shared" si="2"/>
        <v>907462</v>
      </c>
      <c r="AD26" s="62">
        <f t="shared" si="3"/>
        <v>107548</v>
      </c>
      <c r="AE26" s="45">
        <f t="shared" si="4"/>
        <v>0</v>
      </c>
      <c r="AF26" s="45">
        <f t="shared" si="5"/>
        <v>0</v>
      </c>
      <c r="AG26" s="45"/>
      <c r="AH26" s="45"/>
      <c r="AI26" s="45"/>
      <c r="AJ26" s="14">
        <f t="shared" si="6"/>
        <v>1015010</v>
      </c>
      <c r="AK26" s="21">
        <f t="shared" si="7"/>
        <v>1.1200000000000001</v>
      </c>
      <c r="AL26" s="45">
        <f t="shared" si="17"/>
        <v>0</v>
      </c>
      <c r="AM26" s="14">
        <f t="shared" si="8"/>
        <v>0</v>
      </c>
      <c r="AN26" s="14">
        <f t="shared" si="9"/>
        <v>0</v>
      </c>
      <c r="AO26" s="14">
        <f t="shared" si="10"/>
        <v>0</v>
      </c>
      <c r="AP26" s="14"/>
      <c r="AQ26" s="14">
        <f t="shared" si="18"/>
        <v>0</v>
      </c>
      <c r="AR26" s="14">
        <f t="shared" si="19"/>
        <v>41172</v>
      </c>
      <c r="AS26" s="14">
        <f t="shared" si="20"/>
        <v>3933</v>
      </c>
      <c r="AT26" s="14">
        <f t="shared" si="21"/>
        <v>12654</v>
      </c>
      <c r="AU26" s="14">
        <f t="shared" si="11"/>
        <v>38850</v>
      </c>
      <c r="AV26" s="14">
        <f t="shared" si="12"/>
        <v>37944</v>
      </c>
      <c r="AW26" s="14">
        <f t="shared" si="13"/>
        <v>4119</v>
      </c>
      <c r="AX26" s="14">
        <f t="shared" si="14"/>
        <v>1153682</v>
      </c>
      <c r="AY26" s="14">
        <v>1121054</v>
      </c>
      <c r="AZ26" s="14">
        <f t="shared" si="15"/>
        <v>32628</v>
      </c>
      <c r="BA26" s="2"/>
      <c r="BB26" s="14">
        <v>41172</v>
      </c>
      <c r="BC26" s="14">
        <v>3933</v>
      </c>
      <c r="BD26" s="2"/>
      <c r="BE26" s="64">
        <v>65</v>
      </c>
      <c r="BF26" s="64">
        <v>1.093</v>
      </c>
    </row>
    <row r="27" spans="1:58" ht="15" x14ac:dyDescent="0.2">
      <c r="A27" s="20" t="s">
        <v>58</v>
      </c>
      <c r="B27" s="21" t="s">
        <v>61</v>
      </c>
      <c r="C27" s="45">
        <v>577</v>
      </c>
      <c r="D27" s="45">
        <v>0</v>
      </c>
      <c r="E27" s="45">
        <v>60</v>
      </c>
      <c r="F27" s="45">
        <v>0</v>
      </c>
      <c r="G27" s="45">
        <v>18</v>
      </c>
      <c r="H27" s="45">
        <v>1</v>
      </c>
      <c r="I27" s="45">
        <v>0</v>
      </c>
      <c r="J27" s="45"/>
      <c r="K27" s="45">
        <v>0</v>
      </c>
      <c r="L27" s="21"/>
      <c r="M27" s="45">
        <v>0</v>
      </c>
      <c r="N27" s="21">
        <v>0</v>
      </c>
      <c r="O27" s="45"/>
      <c r="P27" s="45"/>
      <c r="Q27" s="45">
        <v>0</v>
      </c>
      <c r="R27" s="45">
        <v>0</v>
      </c>
      <c r="S27" s="45">
        <v>0</v>
      </c>
      <c r="T27" s="45">
        <v>0</v>
      </c>
      <c r="U27" s="45">
        <f t="shared" si="16"/>
        <v>656</v>
      </c>
      <c r="V27" s="45">
        <v>0</v>
      </c>
      <c r="W27" s="45">
        <v>0</v>
      </c>
      <c r="X27" s="45">
        <v>0</v>
      </c>
      <c r="Y27" s="48">
        <f t="shared" si="0"/>
        <v>0</v>
      </c>
      <c r="Z27" s="45">
        <v>2655</v>
      </c>
      <c r="AA27" s="45">
        <f t="shared" si="1"/>
        <v>2940</v>
      </c>
      <c r="AB27" s="48">
        <v>1.0900000000000001</v>
      </c>
      <c r="AC27" s="45">
        <f t="shared" si="2"/>
        <v>1470438</v>
      </c>
      <c r="AD27" s="62">
        <f t="shared" si="3"/>
        <v>458248</v>
      </c>
      <c r="AE27" s="45">
        <f t="shared" si="4"/>
        <v>0</v>
      </c>
      <c r="AF27" s="45">
        <f t="shared" si="5"/>
        <v>0</v>
      </c>
      <c r="AG27" s="45"/>
      <c r="AH27" s="45"/>
      <c r="AI27" s="45"/>
      <c r="AJ27" s="14">
        <f t="shared" si="6"/>
        <v>1928686</v>
      </c>
      <c r="AK27" s="21">
        <f t="shared" si="7"/>
        <v>1.1200000000000001</v>
      </c>
      <c r="AL27" s="45">
        <f t="shared" si="17"/>
        <v>0</v>
      </c>
      <c r="AM27" s="14">
        <f t="shared" si="8"/>
        <v>0</v>
      </c>
      <c r="AN27" s="14">
        <f t="shared" si="9"/>
        <v>0</v>
      </c>
      <c r="AO27" s="14">
        <f t="shared" si="10"/>
        <v>0</v>
      </c>
      <c r="AP27" s="14">
        <f>ROUND(D27*C$88*AP$84,0)</f>
        <v>0</v>
      </c>
      <c r="AQ27" s="14">
        <f t="shared" si="18"/>
        <v>0</v>
      </c>
      <c r="AR27" s="14">
        <f t="shared" si="19"/>
        <v>120227</v>
      </c>
      <c r="AS27" s="14">
        <f t="shared" si="20"/>
        <v>17342</v>
      </c>
      <c r="AT27" s="14">
        <f t="shared" si="21"/>
        <v>37392</v>
      </c>
      <c r="AU27" s="14">
        <f t="shared" si="11"/>
        <v>114625</v>
      </c>
      <c r="AV27" s="14">
        <f t="shared" si="12"/>
        <v>166464</v>
      </c>
      <c r="AW27" s="14">
        <f t="shared" si="13"/>
        <v>6939</v>
      </c>
      <c r="AX27" s="14">
        <f t="shared" si="14"/>
        <v>2391675</v>
      </c>
      <c r="AY27" s="14">
        <v>3793915</v>
      </c>
      <c r="AZ27" s="14">
        <f t="shared" si="15"/>
        <v>-1402240</v>
      </c>
      <c r="BA27" s="2"/>
      <c r="BB27" s="14">
        <v>120227</v>
      </c>
      <c r="BC27" s="14">
        <v>17342</v>
      </c>
      <c r="BD27" s="2"/>
      <c r="BE27" s="64">
        <v>66</v>
      </c>
      <c r="BF27" s="64">
        <v>1.093</v>
      </c>
    </row>
    <row r="28" spans="1:58" ht="15" x14ac:dyDescent="0.2">
      <c r="A28" s="20" t="s">
        <v>58</v>
      </c>
      <c r="B28" s="21" t="s">
        <v>64</v>
      </c>
      <c r="C28" s="45">
        <v>313</v>
      </c>
      <c r="D28" s="45">
        <v>57</v>
      </c>
      <c r="E28" s="45">
        <v>20</v>
      </c>
      <c r="F28" s="45">
        <v>0</v>
      </c>
      <c r="G28" s="45">
        <v>1</v>
      </c>
      <c r="H28" s="45">
        <v>0</v>
      </c>
      <c r="I28" s="45">
        <v>0</v>
      </c>
      <c r="J28" s="45"/>
      <c r="K28" s="45">
        <v>1</v>
      </c>
      <c r="L28" s="21"/>
      <c r="M28" s="45">
        <v>0</v>
      </c>
      <c r="N28" s="21">
        <v>0</v>
      </c>
      <c r="O28" s="45"/>
      <c r="P28" s="45"/>
      <c r="Q28" s="45">
        <v>0</v>
      </c>
      <c r="R28" s="45">
        <v>0</v>
      </c>
      <c r="S28" s="45">
        <v>0</v>
      </c>
      <c r="T28" s="45">
        <v>0</v>
      </c>
      <c r="U28" s="45">
        <f t="shared" si="16"/>
        <v>392</v>
      </c>
      <c r="V28" s="45">
        <v>0</v>
      </c>
      <c r="W28" s="45">
        <v>0</v>
      </c>
      <c r="X28" s="45">
        <v>0</v>
      </c>
      <c r="Y28" s="48">
        <f t="shared" si="0"/>
        <v>9.6999999999999975E-2</v>
      </c>
      <c r="Z28" s="45">
        <v>3166</v>
      </c>
      <c r="AA28" s="45">
        <f t="shared" si="1"/>
        <v>3377</v>
      </c>
      <c r="AB28" s="48">
        <v>1.4450000000000001</v>
      </c>
      <c r="AC28" s="45">
        <f t="shared" si="2"/>
        <v>1057442</v>
      </c>
      <c r="AD28" s="62">
        <f t="shared" si="3"/>
        <v>102872</v>
      </c>
      <c r="AE28" s="45">
        <f t="shared" si="4"/>
        <v>1239</v>
      </c>
      <c r="AF28" s="45">
        <f t="shared" si="5"/>
        <v>0</v>
      </c>
      <c r="AG28" s="45"/>
      <c r="AH28" s="45"/>
      <c r="AI28" s="45"/>
      <c r="AJ28" s="14">
        <f t="shared" si="6"/>
        <v>1161553</v>
      </c>
      <c r="AK28" s="21">
        <f t="shared" si="7"/>
        <v>1.1200000000000001</v>
      </c>
      <c r="AL28" s="45">
        <f t="shared" si="17"/>
        <v>149258</v>
      </c>
      <c r="AM28" s="14">
        <f t="shared" si="8"/>
        <v>0</v>
      </c>
      <c r="AN28" s="14">
        <f t="shared" si="9"/>
        <v>0</v>
      </c>
      <c r="AO28" s="14">
        <f t="shared" si="10"/>
        <v>12927</v>
      </c>
      <c r="AP28" s="14"/>
      <c r="AQ28" s="14">
        <f t="shared" si="18"/>
        <v>162185</v>
      </c>
      <c r="AR28" s="14">
        <f t="shared" si="19"/>
        <v>51267</v>
      </c>
      <c r="AS28" s="14">
        <f t="shared" si="20"/>
        <v>4995</v>
      </c>
      <c r="AT28" s="14">
        <f t="shared" si="21"/>
        <v>22344</v>
      </c>
      <c r="AU28" s="14">
        <f t="shared" si="11"/>
        <v>68425</v>
      </c>
      <c r="AV28" s="14">
        <f t="shared" si="12"/>
        <v>29376</v>
      </c>
      <c r="AW28" s="14">
        <f t="shared" si="13"/>
        <v>4698</v>
      </c>
      <c r="AX28" s="14">
        <f t="shared" si="14"/>
        <v>1504843</v>
      </c>
      <c r="AY28" s="14">
        <v>1404181</v>
      </c>
      <c r="AZ28" s="14">
        <f t="shared" si="15"/>
        <v>100662</v>
      </c>
      <c r="BA28" s="2"/>
      <c r="BB28" s="14">
        <v>51267</v>
      </c>
      <c r="BC28" s="14">
        <v>4995</v>
      </c>
      <c r="BD28" s="2"/>
      <c r="BE28" s="64">
        <v>67</v>
      </c>
      <c r="BF28" s="64">
        <v>1.0920000000000001</v>
      </c>
    </row>
    <row r="29" spans="1:58" ht="15" x14ac:dyDescent="0.2">
      <c r="A29" s="20" t="s">
        <v>55</v>
      </c>
      <c r="B29" s="21" t="s">
        <v>125</v>
      </c>
      <c r="C29" s="45">
        <v>1145</v>
      </c>
      <c r="D29" s="45">
        <v>0</v>
      </c>
      <c r="E29" s="45">
        <v>77</v>
      </c>
      <c r="F29" s="45">
        <v>0</v>
      </c>
      <c r="G29" s="45">
        <v>19</v>
      </c>
      <c r="H29" s="45">
        <v>0</v>
      </c>
      <c r="I29" s="45">
        <v>0</v>
      </c>
      <c r="J29" s="45"/>
      <c r="K29" s="45">
        <v>2</v>
      </c>
      <c r="L29" s="21"/>
      <c r="M29" s="45">
        <v>0</v>
      </c>
      <c r="N29" s="21">
        <v>0</v>
      </c>
      <c r="O29" s="45"/>
      <c r="P29" s="45"/>
      <c r="Q29" s="45">
        <v>0</v>
      </c>
      <c r="R29" s="45">
        <v>0</v>
      </c>
      <c r="S29" s="45">
        <v>0</v>
      </c>
      <c r="T29" s="45">
        <v>0</v>
      </c>
      <c r="U29" s="45">
        <f t="shared" si="16"/>
        <v>1243</v>
      </c>
      <c r="V29" s="45">
        <v>0</v>
      </c>
      <c r="W29" s="45">
        <v>0</v>
      </c>
      <c r="X29" s="45">
        <v>0</v>
      </c>
      <c r="Y29" s="48">
        <f t="shared" si="0"/>
        <v>0</v>
      </c>
      <c r="Z29" s="45">
        <v>2886</v>
      </c>
      <c r="AA29" s="45">
        <f t="shared" si="1"/>
        <v>3140</v>
      </c>
      <c r="AB29" s="48">
        <v>1.256</v>
      </c>
      <c r="AC29" s="45">
        <f t="shared" si="2"/>
        <v>3362325</v>
      </c>
      <c r="AD29" s="62">
        <f t="shared" si="3"/>
        <v>537740</v>
      </c>
      <c r="AE29" s="45">
        <f t="shared" si="4"/>
        <v>2478</v>
      </c>
      <c r="AF29" s="45">
        <f t="shared" si="5"/>
        <v>0</v>
      </c>
      <c r="AG29" s="45"/>
      <c r="AH29" s="45"/>
      <c r="AI29" s="45"/>
      <c r="AJ29" s="14">
        <f t="shared" si="6"/>
        <v>3902543</v>
      </c>
      <c r="AK29" s="21">
        <f t="shared" si="7"/>
        <v>1.1200000000000001</v>
      </c>
      <c r="AL29" s="45">
        <f t="shared" si="17"/>
        <v>0</v>
      </c>
      <c r="AM29" s="14">
        <f t="shared" si="8"/>
        <v>0</v>
      </c>
      <c r="AN29" s="14">
        <f t="shared" si="9"/>
        <v>0</v>
      </c>
      <c r="AO29" s="14">
        <f t="shared" si="10"/>
        <v>0</v>
      </c>
      <c r="AP29" s="14"/>
      <c r="AQ29" s="14">
        <f t="shared" si="18"/>
        <v>0</v>
      </c>
      <c r="AR29" s="14">
        <f t="shared" si="19"/>
        <v>160045</v>
      </c>
      <c r="AS29" s="14">
        <f t="shared" si="20"/>
        <v>21885</v>
      </c>
      <c r="AT29" s="14">
        <f t="shared" si="21"/>
        <v>70851</v>
      </c>
      <c r="AU29" s="14">
        <f t="shared" si="11"/>
        <v>217175</v>
      </c>
      <c r="AV29" s="14">
        <f t="shared" si="12"/>
        <v>187272</v>
      </c>
      <c r="AW29" s="14">
        <f t="shared" si="13"/>
        <v>15150</v>
      </c>
      <c r="AX29" s="14">
        <f t="shared" si="14"/>
        <v>4574921</v>
      </c>
      <c r="AY29" s="14">
        <v>4203161</v>
      </c>
      <c r="AZ29" s="14">
        <f t="shared" si="15"/>
        <v>371760</v>
      </c>
      <c r="BA29" s="2"/>
      <c r="BB29" s="14">
        <v>160045</v>
      </c>
      <c r="BC29" s="14">
        <v>21885</v>
      </c>
      <c r="BD29" s="2"/>
      <c r="BE29" s="64">
        <v>68</v>
      </c>
      <c r="BF29" s="64">
        <v>1.0920000000000001</v>
      </c>
    </row>
    <row r="30" spans="1:58" ht="15" x14ac:dyDescent="0.2">
      <c r="A30" s="20" t="s">
        <v>55</v>
      </c>
      <c r="B30" s="21" t="s">
        <v>219</v>
      </c>
      <c r="C30" s="45">
        <v>352</v>
      </c>
      <c r="D30" s="45">
        <v>60</v>
      </c>
      <c r="E30" s="45">
        <v>14</v>
      </c>
      <c r="F30" s="45">
        <v>1</v>
      </c>
      <c r="G30" s="45">
        <v>7</v>
      </c>
      <c r="H30" s="45">
        <v>0</v>
      </c>
      <c r="I30" s="45">
        <v>0</v>
      </c>
      <c r="J30" s="45"/>
      <c r="K30" s="45">
        <v>0</v>
      </c>
      <c r="L30" s="21"/>
      <c r="M30" s="45">
        <v>0</v>
      </c>
      <c r="N30" s="21">
        <v>0</v>
      </c>
      <c r="O30" s="45"/>
      <c r="P30" s="45"/>
      <c r="Q30" s="45">
        <v>0</v>
      </c>
      <c r="R30" s="45">
        <v>0</v>
      </c>
      <c r="S30" s="45">
        <v>0</v>
      </c>
      <c r="T30" s="45">
        <v>0</v>
      </c>
      <c r="U30" s="45">
        <f t="shared" si="16"/>
        <v>434</v>
      </c>
      <c r="V30" s="45">
        <v>0</v>
      </c>
      <c r="W30" s="45">
        <v>0</v>
      </c>
      <c r="X30" s="45">
        <v>0</v>
      </c>
      <c r="Y30" s="48">
        <f t="shared" si="0"/>
        <v>9.6000000000000085E-2</v>
      </c>
      <c r="Z30" s="45">
        <v>3867</v>
      </c>
      <c r="AA30" s="45">
        <f t="shared" si="1"/>
        <v>4128</v>
      </c>
      <c r="AB30" s="48">
        <v>1.786</v>
      </c>
      <c r="AC30" s="45">
        <f t="shared" si="2"/>
        <v>1469835</v>
      </c>
      <c r="AD30" s="62">
        <f t="shared" si="3"/>
        <v>130928</v>
      </c>
      <c r="AE30" s="45">
        <f t="shared" si="4"/>
        <v>0</v>
      </c>
      <c r="AF30" s="45">
        <f t="shared" si="5"/>
        <v>0</v>
      </c>
      <c r="AG30" s="45"/>
      <c r="AH30" s="45"/>
      <c r="AI30" s="45"/>
      <c r="AJ30" s="14">
        <f t="shared" si="6"/>
        <v>1600763</v>
      </c>
      <c r="AK30" s="21">
        <f t="shared" si="7"/>
        <v>1.1200000000000001</v>
      </c>
      <c r="AL30" s="45">
        <f t="shared" si="17"/>
        <v>157114</v>
      </c>
      <c r="AM30" s="14">
        <f t="shared" si="8"/>
        <v>6313</v>
      </c>
      <c r="AN30" s="14">
        <f t="shared" si="9"/>
        <v>0</v>
      </c>
      <c r="AO30" s="14">
        <f t="shared" si="10"/>
        <v>13467</v>
      </c>
      <c r="AP30" s="14">
        <f>ROUND(D30*C$88*AP$84,0)</f>
        <v>14028</v>
      </c>
      <c r="AQ30" s="14">
        <f t="shared" si="18"/>
        <v>190922</v>
      </c>
      <c r="AR30" s="14">
        <f t="shared" si="19"/>
        <v>106506</v>
      </c>
      <c r="AS30" s="14">
        <f t="shared" si="20"/>
        <v>11468</v>
      </c>
      <c r="AT30" s="14">
        <f t="shared" si="21"/>
        <v>24738</v>
      </c>
      <c r="AU30" s="14">
        <f t="shared" si="11"/>
        <v>75950</v>
      </c>
      <c r="AV30" s="14">
        <f t="shared" si="12"/>
        <v>53489</v>
      </c>
      <c r="AW30" s="14">
        <f t="shared" si="13"/>
        <v>6465</v>
      </c>
      <c r="AX30" s="14">
        <f t="shared" si="14"/>
        <v>2070301</v>
      </c>
      <c r="AY30" s="14">
        <v>2038735</v>
      </c>
      <c r="AZ30" s="14">
        <f t="shared" si="15"/>
        <v>31566</v>
      </c>
      <c r="BA30" s="2"/>
      <c r="BB30" s="14">
        <v>106506</v>
      </c>
      <c r="BC30" s="14">
        <v>11468</v>
      </c>
      <c r="BD30" s="2"/>
      <c r="BE30" s="64">
        <v>69</v>
      </c>
      <c r="BF30" s="64">
        <v>1.091</v>
      </c>
    </row>
    <row r="31" spans="1:58" ht="15" x14ac:dyDescent="0.2">
      <c r="A31" s="20" t="s">
        <v>55</v>
      </c>
      <c r="B31" s="21" t="s">
        <v>124</v>
      </c>
      <c r="C31" s="45">
        <v>720</v>
      </c>
      <c r="D31" s="45">
        <v>138</v>
      </c>
      <c r="E31" s="45">
        <v>82</v>
      </c>
      <c r="F31" s="45">
        <v>0</v>
      </c>
      <c r="G31" s="45">
        <v>23</v>
      </c>
      <c r="H31" s="45">
        <v>1</v>
      </c>
      <c r="I31" s="45">
        <v>0</v>
      </c>
      <c r="J31" s="45"/>
      <c r="K31" s="45">
        <v>0</v>
      </c>
      <c r="L31" s="21"/>
      <c r="M31" s="45">
        <v>0</v>
      </c>
      <c r="N31" s="21">
        <v>0</v>
      </c>
      <c r="O31" s="45"/>
      <c r="P31" s="45"/>
      <c r="Q31" s="45">
        <v>0</v>
      </c>
      <c r="R31" s="45">
        <v>0</v>
      </c>
      <c r="S31" s="45">
        <v>0</v>
      </c>
      <c r="T31" s="45">
        <v>0</v>
      </c>
      <c r="U31" s="45">
        <f t="shared" si="16"/>
        <v>964</v>
      </c>
      <c r="V31" s="45">
        <v>0</v>
      </c>
      <c r="W31" s="45">
        <v>0</v>
      </c>
      <c r="X31" s="45">
        <v>0</v>
      </c>
      <c r="Y31" s="48">
        <f t="shared" si="0"/>
        <v>5.8000000000000052E-2</v>
      </c>
      <c r="Z31" s="45">
        <v>3243</v>
      </c>
      <c r="AA31" s="45">
        <f t="shared" si="1"/>
        <v>3482</v>
      </c>
      <c r="AB31" s="48">
        <v>1.407</v>
      </c>
      <c r="AC31" s="45">
        <f t="shared" si="2"/>
        <v>2368488</v>
      </c>
      <c r="AD31" s="62">
        <f t="shared" si="3"/>
        <v>607880</v>
      </c>
      <c r="AE31" s="45">
        <f t="shared" si="4"/>
        <v>0</v>
      </c>
      <c r="AF31" s="45">
        <f t="shared" si="5"/>
        <v>0</v>
      </c>
      <c r="AG31" s="45"/>
      <c r="AH31" s="45"/>
      <c r="AI31" s="45"/>
      <c r="AJ31" s="14">
        <f t="shared" si="6"/>
        <v>2976368</v>
      </c>
      <c r="AK31" s="21">
        <f t="shared" si="7"/>
        <v>1.1200000000000001</v>
      </c>
      <c r="AL31" s="45">
        <f t="shared" si="17"/>
        <v>361361</v>
      </c>
      <c r="AM31" s="14">
        <f t="shared" si="8"/>
        <v>0</v>
      </c>
      <c r="AN31" s="14">
        <f t="shared" si="9"/>
        <v>0</v>
      </c>
      <c r="AO31" s="14">
        <f t="shared" si="10"/>
        <v>18713</v>
      </c>
      <c r="AP31" s="14"/>
      <c r="AQ31" s="14">
        <f t="shared" si="18"/>
        <v>380074</v>
      </c>
      <c r="AR31" s="14">
        <f t="shared" si="19"/>
        <v>132555</v>
      </c>
      <c r="AS31" s="14">
        <f t="shared" si="20"/>
        <v>17988</v>
      </c>
      <c r="AT31" s="14">
        <f t="shared" si="21"/>
        <v>54948</v>
      </c>
      <c r="AU31" s="14">
        <f t="shared" si="11"/>
        <v>168525</v>
      </c>
      <c r="AV31" s="14">
        <f t="shared" si="12"/>
        <v>217872</v>
      </c>
      <c r="AW31" s="14">
        <f t="shared" si="13"/>
        <v>11278</v>
      </c>
      <c r="AX31" s="14">
        <f t="shared" si="14"/>
        <v>3959608</v>
      </c>
      <c r="AY31" s="14">
        <v>3688335</v>
      </c>
      <c r="AZ31" s="14">
        <f t="shared" si="15"/>
        <v>271273</v>
      </c>
      <c r="BA31" s="2"/>
      <c r="BB31" s="14">
        <v>132555</v>
      </c>
      <c r="BC31" s="14">
        <v>17988</v>
      </c>
      <c r="BD31" s="2"/>
      <c r="BE31" s="64">
        <v>70</v>
      </c>
      <c r="BF31" s="64">
        <v>1.091</v>
      </c>
    </row>
    <row r="32" spans="1:58" ht="15" x14ac:dyDescent="0.2">
      <c r="A32" s="20" t="s">
        <v>52</v>
      </c>
      <c r="B32" s="21" t="s">
        <v>220</v>
      </c>
      <c r="C32" s="45">
        <v>787</v>
      </c>
      <c r="D32" s="45">
        <v>78</v>
      </c>
      <c r="E32" s="45">
        <v>78</v>
      </c>
      <c r="F32" s="45">
        <v>0</v>
      </c>
      <c r="G32" s="45">
        <v>17</v>
      </c>
      <c r="H32" s="45">
        <v>1</v>
      </c>
      <c r="I32" s="45">
        <v>0</v>
      </c>
      <c r="J32" s="45"/>
      <c r="K32" s="45">
        <v>1</v>
      </c>
      <c r="L32" s="21"/>
      <c r="M32" s="45">
        <v>2</v>
      </c>
      <c r="N32" s="21">
        <v>0</v>
      </c>
      <c r="O32" s="45"/>
      <c r="P32" s="45"/>
      <c r="Q32" s="45">
        <v>15</v>
      </c>
      <c r="R32" s="45">
        <v>0</v>
      </c>
      <c r="S32" s="45">
        <v>0</v>
      </c>
      <c r="T32" s="45">
        <v>0</v>
      </c>
      <c r="U32" s="45">
        <f t="shared" si="16"/>
        <v>979</v>
      </c>
      <c r="V32" s="45">
        <v>0</v>
      </c>
      <c r="W32" s="45">
        <v>0</v>
      </c>
      <c r="X32" s="45">
        <v>0</v>
      </c>
      <c r="Y32" s="48">
        <f t="shared" si="0"/>
        <v>8.6999999999999966E-2</v>
      </c>
      <c r="Z32" s="45">
        <v>3490</v>
      </c>
      <c r="AA32" s="45">
        <f t="shared" si="1"/>
        <v>3723</v>
      </c>
      <c r="AB32" s="48">
        <v>1.552</v>
      </c>
      <c r="AC32" s="45">
        <f t="shared" si="2"/>
        <v>2855689</v>
      </c>
      <c r="AD32" s="62">
        <f t="shared" si="3"/>
        <v>533064</v>
      </c>
      <c r="AE32" s="45">
        <f t="shared" si="4"/>
        <v>1239</v>
      </c>
      <c r="AF32" s="45">
        <f t="shared" si="5"/>
        <v>4676</v>
      </c>
      <c r="AG32" s="45"/>
      <c r="AH32" s="45"/>
      <c r="AI32" s="45"/>
      <c r="AJ32" s="14">
        <f t="shared" si="6"/>
        <v>3394668</v>
      </c>
      <c r="AK32" s="21">
        <f t="shared" si="7"/>
        <v>1.1200000000000001</v>
      </c>
      <c r="AL32" s="45">
        <f t="shared" si="17"/>
        <v>204248</v>
      </c>
      <c r="AM32" s="14">
        <f t="shared" si="8"/>
        <v>0</v>
      </c>
      <c r="AN32" s="14">
        <f t="shared" si="9"/>
        <v>30160</v>
      </c>
      <c r="AO32" s="14">
        <f t="shared" si="10"/>
        <v>15866</v>
      </c>
      <c r="AP32" s="14"/>
      <c r="AQ32" s="14">
        <f t="shared" si="18"/>
        <v>250274</v>
      </c>
      <c r="AR32" s="14">
        <f t="shared" si="19"/>
        <v>157539</v>
      </c>
      <c r="AS32" s="14">
        <f t="shared" si="20"/>
        <v>17655</v>
      </c>
      <c r="AT32" s="14">
        <f t="shared" si="21"/>
        <v>55803</v>
      </c>
      <c r="AU32" s="14">
        <f t="shared" si="11"/>
        <v>168000</v>
      </c>
      <c r="AV32" s="14">
        <f t="shared" si="12"/>
        <v>183600</v>
      </c>
      <c r="AW32" s="14">
        <f t="shared" si="13"/>
        <v>13314</v>
      </c>
      <c r="AX32" s="14">
        <f t="shared" si="14"/>
        <v>4240853</v>
      </c>
      <c r="AY32" s="14">
        <v>4234510</v>
      </c>
      <c r="AZ32" s="14">
        <f t="shared" si="15"/>
        <v>6343</v>
      </c>
      <c r="BA32" s="2"/>
      <c r="BB32" s="14">
        <v>157539</v>
      </c>
      <c r="BC32" s="14">
        <v>17655</v>
      </c>
      <c r="BD32" s="2"/>
      <c r="BE32" s="64">
        <v>71</v>
      </c>
      <c r="BF32" s="64">
        <v>1.0900000000000001</v>
      </c>
    </row>
    <row r="33" spans="1:58" ht="15" x14ac:dyDescent="0.2">
      <c r="A33" s="20" t="s">
        <v>52</v>
      </c>
      <c r="B33" s="21" t="s">
        <v>51</v>
      </c>
      <c r="C33" s="45">
        <v>885</v>
      </c>
      <c r="D33" s="45">
        <v>0</v>
      </c>
      <c r="E33" s="45">
        <v>70</v>
      </c>
      <c r="F33" s="45">
        <v>0</v>
      </c>
      <c r="G33" s="45">
        <v>24</v>
      </c>
      <c r="H33" s="45">
        <v>2</v>
      </c>
      <c r="I33" s="45">
        <v>0</v>
      </c>
      <c r="J33" s="45"/>
      <c r="K33" s="45">
        <v>0</v>
      </c>
      <c r="L33" s="21"/>
      <c r="M33" s="45">
        <v>0</v>
      </c>
      <c r="N33" s="21">
        <v>0</v>
      </c>
      <c r="O33" s="45"/>
      <c r="P33" s="45"/>
      <c r="Q33" s="45">
        <v>0</v>
      </c>
      <c r="R33" s="45">
        <v>0</v>
      </c>
      <c r="S33" s="45">
        <v>0</v>
      </c>
      <c r="T33" s="45">
        <v>0</v>
      </c>
      <c r="U33" s="45">
        <f t="shared" si="16"/>
        <v>981</v>
      </c>
      <c r="V33" s="45">
        <v>0</v>
      </c>
      <c r="W33" s="45">
        <v>0</v>
      </c>
      <c r="X33" s="45">
        <v>0</v>
      </c>
      <c r="Y33" s="48">
        <f t="shared" si="0"/>
        <v>0</v>
      </c>
      <c r="Z33" s="45">
        <v>2744</v>
      </c>
      <c r="AA33" s="45">
        <f t="shared" si="1"/>
        <v>2925</v>
      </c>
      <c r="AB33" s="48">
        <v>1.111</v>
      </c>
      <c r="AC33" s="45">
        <f t="shared" si="2"/>
        <v>2298803</v>
      </c>
      <c r="AD33" s="62">
        <f t="shared" si="3"/>
        <v>570472</v>
      </c>
      <c r="AE33" s="45">
        <f t="shared" si="4"/>
        <v>0</v>
      </c>
      <c r="AF33" s="45">
        <f t="shared" si="5"/>
        <v>0</v>
      </c>
      <c r="AG33" s="45"/>
      <c r="AH33" s="45"/>
      <c r="AI33" s="45"/>
      <c r="AJ33" s="14">
        <f t="shared" si="6"/>
        <v>2869275</v>
      </c>
      <c r="AK33" s="21">
        <f t="shared" si="7"/>
        <v>1.1200000000000001</v>
      </c>
      <c r="AL33" s="45">
        <f t="shared" si="17"/>
        <v>0</v>
      </c>
      <c r="AM33" s="14">
        <f t="shared" si="8"/>
        <v>0</v>
      </c>
      <c r="AN33" s="14">
        <f t="shared" si="9"/>
        <v>0</v>
      </c>
      <c r="AO33" s="14">
        <f t="shared" si="10"/>
        <v>0</v>
      </c>
      <c r="AP33" s="14"/>
      <c r="AQ33" s="14">
        <f t="shared" si="18"/>
        <v>0</v>
      </c>
      <c r="AR33" s="14">
        <f t="shared" si="19"/>
        <v>126262</v>
      </c>
      <c r="AS33" s="14">
        <f t="shared" si="20"/>
        <v>17136</v>
      </c>
      <c r="AT33" s="14">
        <f t="shared" si="21"/>
        <v>55917</v>
      </c>
      <c r="AU33" s="14">
        <f t="shared" si="11"/>
        <v>171325</v>
      </c>
      <c r="AV33" s="14">
        <f t="shared" si="12"/>
        <v>212976</v>
      </c>
      <c r="AW33" s="14">
        <f t="shared" si="13"/>
        <v>10577</v>
      </c>
      <c r="AX33" s="14">
        <f t="shared" si="14"/>
        <v>3463468</v>
      </c>
      <c r="AY33" s="14">
        <v>3293626</v>
      </c>
      <c r="AZ33" s="14">
        <f t="shared" si="15"/>
        <v>169842</v>
      </c>
      <c r="BA33" s="2"/>
      <c r="BB33" s="14">
        <v>126262</v>
      </c>
      <c r="BC33" s="14">
        <v>17136</v>
      </c>
      <c r="BD33" s="2"/>
      <c r="BE33" s="64">
        <v>72</v>
      </c>
      <c r="BF33" s="64">
        <v>1.0900000000000001</v>
      </c>
    </row>
    <row r="34" spans="1:58" ht="15" x14ac:dyDescent="0.2">
      <c r="A34" s="20" t="s">
        <v>52</v>
      </c>
      <c r="B34" s="21" t="s">
        <v>123</v>
      </c>
      <c r="C34" s="45">
        <v>830</v>
      </c>
      <c r="D34" s="45">
        <v>93</v>
      </c>
      <c r="E34" s="45">
        <v>62</v>
      </c>
      <c r="F34" s="45">
        <v>0</v>
      </c>
      <c r="G34" s="45">
        <v>29</v>
      </c>
      <c r="H34" s="45">
        <v>1</v>
      </c>
      <c r="I34" s="45">
        <v>0</v>
      </c>
      <c r="J34" s="45"/>
      <c r="K34" s="45">
        <v>0</v>
      </c>
      <c r="L34" s="21"/>
      <c r="M34" s="45">
        <v>0</v>
      </c>
      <c r="N34" s="21">
        <v>0</v>
      </c>
      <c r="O34" s="45"/>
      <c r="P34" s="45"/>
      <c r="Q34" s="45">
        <v>15</v>
      </c>
      <c r="R34" s="45">
        <v>0</v>
      </c>
      <c r="S34" s="45">
        <v>0</v>
      </c>
      <c r="T34" s="45">
        <v>0</v>
      </c>
      <c r="U34" s="45">
        <f t="shared" si="16"/>
        <v>1030</v>
      </c>
      <c r="V34" s="45">
        <v>0</v>
      </c>
      <c r="W34" s="45">
        <v>0</v>
      </c>
      <c r="X34" s="45">
        <v>0</v>
      </c>
      <c r="Y34" s="48">
        <f t="shared" si="0"/>
        <v>8.0000000000000071E-2</v>
      </c>
      <c r="Z34" s="45">
        <v>3312</v>
      </c>
      <c r="AA34" s="45">
        <f t="shared" si="1"/>
        <v>3568</v>
      </c>
      <c r="AB34" s="48">
        <v>1.45</v>
      </c>
      <c r="AC34" s="45">
        <f t="shared" si="2"/>
        <v>2813783</v>
      </c>
      <c r="AD34" s="62">
        <f t="shared" si="3"/>
        <v>570472</v>
      </c>
      <c r="AE34" s="45">
        <f t="shared" si="4"/>
        <v>0</v>
      </c>
      <c r="AF34" s="45">
        <f t="shared" si="5"/>
        <v>0</v>
      </c>
      <c r="AG34" s="45"/>
      <c r="AH34" s="45"/>
      <c r="AI34" s="45"/>
      <c r="AJ34" s="14">
        <f t="shared" si="6"/>
        <v>3384255</v>
      </c>
      <c r="AK34" s="21">
        <f t="shared" si="7"/>
        <v>1.1200000000000001</v>
      </c>
      <c r="AL34" s="45">
        <f t="shared" si="17"/>
        <v>243526</v>
      </c>
      <c r="AM34" s="14">
        <f t="shared" si="8"/>
        <v>0</v>
      </c>
      <c r="AN34" s="14">
        <f t="shared" si="9"/>
        <v>30160</v>
      </c>
      <c r="AO34" s="14">
        <f t="shared" si="10"/>
        <v>17395</v>
      </c>
      <c r="AP34" s="14"/>
      <c r="AQ34" s="14">
        <f t="shared" si="18"/>
        <v>291081</v>
      </c>
      <c r="AR34" s="14">
        <f t="shared" si="19"/>
        <v>145446</v>
      </c>
      <c r="AS34" s="14">
        <f t="shared" si="20"/>
        <v>18574</v>
      </c>
      <c r="AT34" s="14">
        <f t="shared" si="21"/>
        <v>58710</v>
      </c>
      <c r="AU34" s="14">
        <f t="shared" si="11"/>
        <v>177450</v>
      </c>
      <c r="AV34" s="14">
        <f t="shared" si="12"/>
        <v>222768</v>
      </c>
      <c r="AW34" s="14">
        <f t="shared" si="13"/>
        <v>12974</v>
      </c>
      <c r="AX34" s="14">
        <f t="shared" si="14"/>
        <v>4311258</v>
      </c>
      <c r="AY34" s="14">
        <v>4172451</v>
      </c>
      <c r="AZ34" s="14">
        <f t="shared" si="15"/>
        <v>138807</v>
      </c>
      <c r="BA34" s="2"/>
      <c r="BB34" s="14">
        <v>145446</v>
      </c>
      <c r="BC34" s="14">
        <v>18574</v>
      </c>
      <c r="BD34" s="2"/>
      <c r="BE34" s="64">
        <v>73</v>
      </c>
      <c r="BF34" s="64">
        <v>1.089</v>
      </c>
    </row>
    <row r="35" spans="1:58" ht="15" x14ac:dyDescent="0.2">
      <c r="A35" s="20" t="s">
        <v>47</v>
      </c>
      <c r="B35" s="21" t="s">
        <v>48</v>
      </c>
      <c r="C35" s="45">
        <v>1119</v>
      </c>
      <c r="D35" s="45">
        <v>0</v>
      </c>
      <c r="E35" s="45">
        <v>115</v>
      </c>
      <c r="F35" s="45">
        <v>0</v>
      </c>
      <c r="G35" s="45">
        <v>7</v>
      </c>
      <c r="H35" s="45">
        <v>0</v>
      </c>
      <c r="I35" s="45">
        <v>0</v>
      </c>
      <c r="J35" s="45"/>
      <c r="K35" s="45">
        <v>3</v>
      </c>
      <c r="L35" s="21"/>
      <c r="M35" s="45">
        <v>0</v>
      </c>
      <c r="N35" s="21">
        <v>0</v>
      </c>
      <c r="O35" s="45"/>
      <c r="P35" s="45"/>
      <c r="Q35" s="45">
        <v>0</v>
      </c>
      <c r="R35" s="45">
        <v>0</v>
      </c>
      <c r="S35" s="45">
        <v>0</v>
      </c>
      <c r="T35" s="45">
        <v>0</v>
      </c>
      <c r="U35" s="45">
        <f t="shared" si="16"/>
        <v>1244</v>
      </c>
      <c r="V35" s="45">
        <v>0</v>
      </c>
      <c r="W35" s="45">
        <v>0</v>
      </c>
      <c r="X35" s="45">
        <v>0</v>
      </c>
      <c r="Y35" s="48">
        <f t="shared" si="0"/>
        <v>0</v>
      </c>
      <c r="Z35" s="45">
        <v>2694</v>
      </c>
      <c r="AA35" s="45">
        <f t="shared" si="1"/>
        <v>2904</v>
      </c>
      <c r="AB35" s="48">
        <v>1.149</v>
      </c>
      <c r="AC35" s="45">
        <f t="shared" si="2"/>
        <v>3006039</v>
      </c>
      <c r="AD35" s="62">
        <f t="shared" si="3"/>
        <v>603204</v>
      </c>
      <c r="AE35" s="45">
        <f t="shared" si="4"/>
        <v>3717</v>
      </c>
      <c r="AF35" s="45">
        <f t="shared" si="5"/>
        <v>0</v>
      </c>
      <c r="AG35" s="45"/>
      <c r="AH35" s="45"/>
      <c r="AI35" s="45"/>
      <c r="AJ35" s="14">
        <f t="shared" si="6"/>
        <v>3612960</v>
      </c>
      <c r="AK35" s="21">
        <f t="shared" si="7"/>
        <v>1.1200000000000001</v>
      </c>
      <c r="AL35" s="45">
        <f t="shared" si="17"/>
        <v>0</v>
      </c>
      <c r="AM35" s="14">
        <f t="shared" si="8"/>
        <v>0</v>
      </c>
      <c r="AN35" s="14">
        <f t="shared" si="9"/>
        <v>0</v>
      </c>
      <c r="AO35" s="14">
        <f t="shared" si="10"/>
        <v>0</v>
      </c>
      <c r="AP35" s="14"/>
      <c r="AQ35" s="14">
        <f t="shared" si="18"/>
        <v>0</v>
      </c>
      <c r="AR35" s="14">
        <f t="shared" si="19"/>
        <v>139738</v>
      </c>
      <c r="AS35" s="14">
        <f t="shared" si="20"/>
        <v>17001</v>
      </c>
      <c r="AT35" s="14">
        <f t="shared" si="21"/>
        <v>70908</v>
      </c>
      <c r="AU35" s="14">
        <f t="shared" si="11"/>
        <v>217175</v>
      </c>
      <c r="AV35" s="14">
        <f t="shared" si="12"/>
        <v>175032</v>
      </c>
      <c r="AW35" s="14">
        <f t="shared" si="13"/>
        <v>13871</v>
      </c>
      <c r="AX35" s="14">
        <f t="shared" si="14"/>
        <v>4246685</v>
      </c>
      <c r="AY35" s="14">
        <v>4098548</v>
      </c>
      <c r="AZ35" s="14">
        <f t="shared" si="15"/>
        <v>148137</v>
      </c>
      <c r="BA35" s="2"/>
      <c r="BB35" s="14">
        <v>139738</v>
      </c>
      <c r="BC35" s="14">
        <v>17001</v>
      </c>
      <c r="BD35" s="2"/>
      <c r="BE35" s="64">
        <v>74</v>
      </c>
      <c r="BF35" s="64">
        <v>1.089</v>
      </c>
    </row>
    <row r="36" spans="1:58" ht="15" x14ac:dyDescent="0.2">
      <c r="A36" s="20" t="s">
        <v>47</v>
      </c>
      <c r="B36" s="21" t="s">
        <v>122</v>
      </c>
      <c r="C36" s="45">
        <v>686</v>
      </c>
      <c r="D36" s="45">
        <v>40</v>
      </c>
      <c r="E36" s="45">
        <v>39</v>
      </c>
      <c r="F36" s="45">
        <v>0</v>
      </c>
      <c r="G36" s="45">
        <v>8</v>
      </c>
      <c r="H36" s="45">
        <v>0</v>
      </c>
      <c r="I36" s="45">
        <v>0</v>
      </c>
      <c r="J36" s="45"/>
      <c r="K36" s="45">
        <v>4</v>
      </c>
      <c r="L36" s="21"/>
      <c r="M36" s="45">
        <v>0</v>
      </c>
      <c r="N36" s="21">
        <v>0</v>
      </c>
      <c r="O36" s="45"/>
      <c r="P36" s="45"/>
      <c r="Q36" s="45">
        <v>0</v>
      </c>
      <c r="R36" s="45">
        <v>0</v>
      </c>
      <c r="S36" s="45">
        <v>0</v>
      </c>
      <c r="T36" s="45">
        <v>0</v>
      </c>
      <c r="U36" s="45">
        <f t="shared" si="16"/>
        <v>777</v>
      </c>
      <c r="V36" s="45">
        <v>0</v>
      </c>
      <c r="W36" s="45">
        <v>0</v>
      </c>
      <c r="X36" s="45">
        <v>0</v>
      </c>
      <c r="Y36" s="48">
        <f t="shared" ref="Y36:Y67" si="22">IF(AND(D36&lt;251,D36&gt;=43),VLOOKUP(D36,BE$4:BF$211,2,FALSE)-1,0)</f>
        <v>0</v>
      </c>
      <c r="Z36" s="45">
        <v>3750</v>
      </c>
      <c r="AA36" s="45">
        <f t="shared" ref="AA36:AA67" si="23">ROUND((SUM(AC36:AG36)+AQ36)/U36,0)</f>
        <v>4004</v>
      </c>
      <c r="AB36" s="48">
        <v>1.7110000000000001</v>
      </c>
      <c r="AC36" s="45">
        <f t="shared" ref="AC36:AC67" si="24">ROUND(C36*AB36*C$88,0)</f>
        <v>2744218</v>
      </c>
      <c r="AD36" s="62">
        <f t="shared" ref="AD36:AD67" si="25">ROUND((E36*E$84+G36*G$84+H36*H$84)*C$88,0)</f>
        <v>257180</v>
      </c>
      <c r="AE36" s="45">
        <f t="shared" ref="AE36:AE67" si="26">ROUND(K36*K$84*C$88,0)</f>
        <v>4957</v>
      </c>
      <c r="AF36" s="45">
        <f t="shared" ref="AF36:AF67" si="27">ROUND((M36*M$84+N36*N$84+P36*P$84)*C$88,0)</f>
        <v>0</v>
      </c>
      <c r="AG36" s="45"/>
      <c r="AH36" s="45"/>
      <c r="AI36" s="45"/>
      <c r="AJ36" s="14">
        <f t="shared" ref="AJ36:AJ67" si="28">SUM(AC36:AI36)</f>
        <v>3006355</v>
      </c>
      <c r="AK36" s="21">
        <f t="shared" ref="AK36:AK67" si="29">IF(D36&lt;400,1.12,IF(D36&lt;=500,1.06,1))</f>
        <v>1.1200000000000001</v>
      </c>
      <c r="AL36" s="45">
        <f t="shared" si="17"/>
        <v>104742</v>
      </c>
      <c r="AM36" s="14">
        <f t="shared" ref="AM36:AM67" si="30">ROUND((F36*F$84+I36*I$84+J36*J$84)*C$88,0)</f>
        <v>0</v>
      </c>
      <c r="AN36" s="14">
        <f t="shared" ref="AN36:AN67" si="31">ROUND((Q36*Q$84)*C$88,0)+ROUND((T36*T$84)*C$88,0)+ROUND((R36*R$84)*C$88,0)</f>
        <v>0</v>
      </c>
      <c r="AO36" s="14">
        <f t="shared" ref="AO36:AO67" si="32">ROUND(D36*Y36*C$88,0)</f>
        <v>0</v>
      </c>
      <c r="AP36" s="14"/>
      <c r="AQ36" s="14">
        <f t="shared" si="18"/>
        <v>104742</v>
      </c>
      <c r="AR36" s="14">
        <f t="shared" si="19"/>
        <v>122691</v>
      </c>
      <c r="AS36" s="14">
        <f t="shared" si="20"/>
        <v>13732</v>
      </c>
      <c r="AT36" s="14">
        <f t="shared" si="21"/>
        <v>44289</v>
      </c>
      <c r="AU36" s="14">
        <f t="shared" ref="AU36:AU67" si="33">ROUND((C36+D36+E36+F36+G36+I36)*C$92,0)</f>
        <v>135275</v>
      </c>
      <c r="AV36" s="14">
        <f t="shared" ref="AV36:AV67" si="34">ROUND((E36*E$85+F36*F$85+G36*G$85+H36*H$85+I36*I$85+J36*J$85)*C$93,0)+ROUND((V36*V$85)*C$93,0)+ROUND((W36*W$85+X36*X$85)*C$93,0)</f>
        <v>86904</v>
      </c>
      <c r="AW36" s="14">
        <f t="shared" ref="AW36:AW67" si="35">ROUND((C36+E36+G36+H36+K36)*AB36*C$94,0)</f>
        <v>12237</v>
      </c>
      <c r="AX36" s="14">
        <f t="shared" ref="AX36:AX67" si="36">AJ36+AQ36+AR36+AS36+AT36+AU36+AV36+AW36</f>
        <v>3526225</v>
      </c>
      <c r="AY36" s="14">
        <v>3236121</v>
      </c>
      <c r="AZ36" s="14">
        <f t="shared" ref="AZ36:AZ67" si="37">AX36-AY36</f>
        <v>290104</v>
      </c>
      <c r="BA36" s="2"/>
      <c r="BB36" s="14">
        <v>122691</v>
      </c>
      <c r="BC36" s="14">
        <v>13732</v>
      </c>
      <c r="BD36" s="2"/>
      <c r="BE36" s="64">
        <v>75</v>
      </c>
      <c r="BF36" s="64">
        <v>1.089</v>
      </c>
    </row>
    <row r="37" spans="1:58" ht="15" x14ac:dyDescent="0.2">
      <c r="A37" s="20" t="s">
        <v>47</v>
      </c>
      <c r="B37" s="21" t="s">
        <v>121</v>
      </c>
      <c r="C37" s="45">
        <v>16</v>
      </c>
      <c r="D37" s="45">
        <v>0</v>
      </c>
      <c r="E37" s="45">
        <v>2</v>
      </c>
      <c r="F37" s="45">
        <v>0</v>
      </c>
      <c r="G37" s="45">
        <v>0</v>
      </c>
      <c r="H37" s="45">
        <v>0</v>
      </c>
      <c r="I37" s="45">
        <v>0</v>
      </c>
      <c r="J37" s="45"/>
      <c r="K37" s="45">
        <v>3</v>
      </c>
      <c r="L37" s="21"/>
      <c r="M37" s="45">
        <v>0</v>
      </c>
      <c r="N37" s="21">
        <v>0</v>
      </c>
      <c r="O37" s="45"/>
      <c r="P37" s="45"/>
      <c r="Q37" s="45">
        <v>0</v>
      </c>
      <c r="R37" s="45">
        <v>0</v>
      </c>
      <c r="S37" s="45">
        <v>0</v>
      </c>
      <c r="T37" s="45">
        <v>0</v>
      </c>
      <c r="U37" s="45">
        <f t="shared" si="16"/>
        <v>21</v>
      </c>
      <c r="V37" s="45">
        <v>0</v>
      </c>
      <c r="W37" s="45">
        <v>0</v>
      </c>
      <c r="X37" s="45">
        <v>0</v>
      </c>
      <c r="Y37" s="48">
        <f t="shared" si="22"/>
        <v>0</v>
      </c>
      <c r="Z37" s="45">
        <v>10178</v>
      </c>
      <c r="AA37" s="45">
        <f t="shared" si="23"/>
        <v>10854</v>
      </c>
      <c r="AB37" s="48">
        <v>2.0299999999999998</v>
      </c>
      <c r="AC37" s="45">
        <f t="shared" si="24"/>
        <v>75938</v>
      </c>
      <c r="AD37" s="62">
        <f t="shared" si="25"/>
        <v>9352</v>
      </c>
      <c r="AE37" s="45">
        <f t="shared" si="26"/>
        <v>3717</v>
      </c>
      <c r="AF37" s="45">
        <f t="shared" si="27"/>
        <v>0</v>
      </c>
      <c r="AG37" s="65">
        <f>ROUND(MAX(SUM(AC37:AF37),C$95*6.5)-SUM(AC37:AF37),0)</f>
        <v>138922</v>
      </c>
      <c r="AH37" s="45"/>
      <c r="AI37" s="45"/>
      <c r="AJ37" s="14">
        <f t="shared" si="28"/>
        <v>227929</v>
      </c>
      <c r="AK37" s="21">
        <f t="shared" si="29"/>
        <v>1.1200000000000001</v>
      </c>
      <c r="AL37" s="45">
        <f t="shared" si="17"/>
        <v>0</v>
      </c>
      <c r="AM37" s="14">
        <f t="shared" si="30"/>
        <v>0</v>
      </c>
      <c r="AN37" s="14">
        <f t="shared" si="31"/>
        <v>0</v>
      </c>
      <c r="AO37" s="14">
        <f t="shared" si="32"/>
        <v>0</v>
      </c>
      <c r="AP37" s="14"/>
      <c r="AQ37" s="14">
        <f t="shared" si="18"/>
        <v>0</v>
      </c>
      <c r="AR37" s="14">
        <f t="shared" ref="AR37:AR68" si="38">MAX(U37*C$89,BB37)</f>
        <v>6621</v>
      </c>
      <c r="AS37" s="14">
        <f t="shared" ref="AS37:AS68" si="39">MAX(U37*C$90,BC37)</f>
        <v>984</v>
      </c>
      <c r="AT37" s="14">
        <f t="shared" si="21"/>
        <v>1197</v>
      </c>
      <c r="AU37" s="14">
        <f t="shared" si="33"/>
        <v>3150</v>
      </c>
      <c r="AV37" s="14">
        <f t="shared" si="34"/>
        <v>2448</v>
      </c>
      <c r="AW37" s="14">
        <f t="shared" si="35"/>
        <v>414</v>
      </c>
      <c r="AX37" s="14">
        <f t="shared" si="36"/>
        <v>242743</v>
      </c>
      <c r="AY37" s="14">
        <v>227289</v>
      </c>
      <c r="AZ37" s="14">
        <f t="shared" si="37"/>
        <v>15454</v>
      </c>
      <c r="BA37" s="2"/>
      <c r="BB37" s="14">
        <v>6621</v>
      </c>
      <c r="BC37" s="14">
        <v>984</v>
      </c>
      <c r="BD37" s="2"/>
      <c r="BE37" s="64">
        <v>76</v>
      </c>
      <c r="BF37" s="64">
        <v>1.0880000000000001</v>
      </c>
    </row>
    <row r="38" spans="1:58" ht="15" x14ac:dyDescent="0.2">
      <c r="A38" s="20" t="s">
        <v>38</v>
      </c>
      <c r="B38" s="21" t="s">
        <v>120</v>
      </c>
      <c r="C38" s="45">
        <v>289</v>
      </c>
      <c r="D38" s="45">
        <v>0</v>
      </c>
      <c r="E38" s="45">
        <v>17</v>
      </c>
      <c r="F38" s="45">
        <v>0</v>
      </c>
      <c r="G38" s="45">
        <v>7</v>
      </c>
      <c r="H38" s="45">
        <v>0</v>
      </c>
      <c r="I38" s="45">
        <v>0</v>
      </c>
      <c r="J38" s="45"/>
      <c r="K38" s="45">
        <v>0</v>
      </c>
      <c r="L38" s="21"/>
      <c r="M38" s="45">
        <v>0</v>
      </c>
      <c r="N38" s="21">
        <v>0</v>
      </c>
      <c r="O38" s="45"/>
      <c r="P38" s="45"/>
      <c r="Q38" s="45">
        <v>0</v>
      </c>
      <c r="R38" s="45">
        <v>0</v>
      </c>
      <c r="S38" s="45">
        <v>0</v>
      </c>
      <c r="T38" s="45">
        <v>0</v>
      </c>
      <c r="U38" s="45">
        <f t="shared" si="16"/>
        <v>313</v>
      </c>
      <c r="V38" s="45">
        <v>0</v>
      </c>
      <c r="W38" s="45">
        <v>0</v>
      </c>
      <c r="X38" s="45">
        <v>0</v>
      </c>
      <c r="Y38" s="48">
        <f t="shared" si="22"/>
        <v>0</v>
      </c>
      <c r="Z38" s="45">
        <v>3158</v>
      </c>
      <c r="AA38" s="45">
        <f t="shared" si="23"/>
        <v>3453</v>
      </c>
      <c r="AB38" s="48">
        <v>1.385</v>
      </c>
      <c r="AC38" s="45">
        <f t="shared" si="24"/>
        <v>935820</v>
      </c>
      <c r="AD38" s="62">
        <f t="shared" si="25"/>
        <v>144956</v>
      </c>
      <c r="AE38" s="45">
        <f t="shared" si="26"/>
        <v>0</v>
      </c>
      <c r="AF38" s="45">
        <f t="shared" si="27"/>
        <v>0</v>
      </c>
      <c r="AG38" s="45"/>
      <c r="AH38" s="45"/>
      <c r="AI38" s="45"/>
      <c r="AJ38" s="14">
        <f t="shared" si="28"/>
        <v>1080776</v>
      </c>
      <c r="AK38" s="21">
        <f t="shared" si="29"/>
        <v>1.1200000000000001</v>
      </c>
      <c r="AL38" s="45">
        <f t="shared" si="17"/>
        <v>0</v>
      </c>
      <c r="AM38" s="14">
        <f t="shared" si="30"/>
        <v>0</v>
      </c>
      <c r="AN38" s="14">
        <f t="shared" si="31"/>
        <v>0</v>
      </c>
      <c r="AO38" s="14">
        <f t="shared" si="32"/>
        <v>0</v>
      </c>
      <c r="AP38" s="14"/>
      <c r="AQ38" s="14">
        <f t="shared" si="18"/>
        <v>0</v>
      </c>
      <c r="AR38" s="14">
        <f t="shared" si="38"/>
        <v>46029</v>
      </c>
      <c r="AS38" s="14">
        <f t="shared" si="39"/>
        <v>5159</v>
      </c>
      <c r="AT38" s="14">
        <f t="shared" si="21"/>
        <v>17841</v>
      </c>
      <c r="AU38" s="14">
        <f t="shared" si="33"/>
        <v>54775</v>
      </c>
      <c r="AV38" s="14">
        <f t="shared" si="34"/>
        <v>55080</v>
      </c>
      <c r="AW38" s="14">
        <f t="shared" si="35"/>
        <v>4207</v>
      </c>
      <c r="AX38" s="14">
        <f t="shared" si="36"/>
        <v>1263867</v>
      </c>
      <c r="AY38" s="14">
        <v>1166644</v>
      </c>
      <c r="AZ38" s="14">
        <f t="shared" si="37"/>
        <v>97223</v>
      </c>
      <c r="BA38" s="2"/>
      <c r="BB38" s="14">
        <v>46029</v>
      </c>
      <c r="BC38" s="14">
        <v>5159</v>
      </c>
      <c r="BD38" s="2"/>
      <c r="BE38" s="64">
        <v>77</v>
      </c>
      <c r="BF38" s="64">
        <v>1.0880000000000001</v>
      </c>
    </row>
    <row r="39" spans="1:58" ht="15" x14ac:dyDescent="0.2">
      <c r="A39" s="20" t="s">
        <v>38</v>
      </c>
      <c r="B39" s="21" t="s">
        <v>119</v>
      </c>
      <c r="C39" s="45">
        <v>435</v>
      </c>
      <c r="D39" s="45">
        <v>133</v>
      </c>
      <c r="E39" s="45">
        <v>66</v>
      </c>
      <c r="F39" s="45">
        <v>0</v>
      </c>
      <c r="G39" s="45">
        <v>4</v>
      </c>
      <c r="H39" s="45">
        <v>0</v>
      </c>
      <c r="I39" s="45">
        <v>0</v>
      </c>
      <c r="J39" s="45"/>
      <c r="K39" s="45">
        <v>1</v>
      </c>
      <c r="L39" s="21"/>
      <c r="M39" s="45">
        <v>0</v>
      </c>
      <c r="N39" s="21">
        <v>0</v>
      </c>
      <c r="O39" s="45"/>
      <c r="P39" s="45"/>
      <c r="Q39" s="45">
        <v>0</v>
      </c>
      <c r="R39" s="45">
        <v>0</v>
      </c>
      <c r="S39" s="45">
        <v>0</v>
      </c>
      <c r="T39" s="45">
        <v>0</v>
      </c>
      <c r="U39" s="45">
        <f t="shared" si="16"/>
        <v>639</v>
      </c>
      <c r="V39" s="45">
        <v>0</v>
      </c>
      <c r="W39" s="45">
        <v>0</v>
      </c>
      <c r="X39" s="45">
        <v>0</v>
      </c>
      <c r="Y39" s="48">
        <f t="shared" si="22"/>
        <v>6.0999999999999943E-2</v>
      </c>
      <c r="Z39" s="45">
        <v>2848</v>
      </c>
      <c r="AA39" s="45">
        <f t="shared" si="23"/>
        <v>3012</v>
      </c>
      <c r="AB39" s="48">
        <v>1.19</v>
      </c>
      <c r="AC39" s="45">
        <f t="shared" si="24"/>
        <v>1210266</v>
      </c>
      <c r="AD39" s="62">
        <f t="shared" si="25"/>
        <v>346024</v>
      </c>
      <c r="AE39" s="45">
        <f t="shared" si="26"/>
        <v>1239</v>
      </c>
      <c r="AF39" s="45">
        <f t="shared" si="27"/>
        <v>0</v>
      </c>
      <c r="AG39" s="45"/>
      <c r="AH39" s="45"/>
      <c r="AI39" s="45"/>
      <c r="AJ39" s="14">
        <f t="shared" si="28"/>
        <v>1557529</v>
      </c>
      <c r="AK39" s="21">
        <f t="shared" si="29"/>
        <v>1.1200000000000001</v>
      </c>
      <c r="AL39" s="45">
        <f t="shared" si="17"/>
        <v>348268</v>
      </c>
      <c r="AM39" s="14">
        <f t="shared" si="30"/>
        <v>0</v>
      </c>
      <c r="AN39" s="14">
        <f t="shared" si="31"/>
        <v>0</v>
      </c>
      <c r="AO39" s="14">
        <f t="shared" si="32"/>
        <v>18968</v>
      </c>
      <c r="AP39" s="14"/>
      <c r="AQ39" s="14">
        <f t="shared" si="18"/>
        <v>367236</v>
      </c>
      <c r="AR39" s="14">
        <f t="shared" si="38"/>
        <v>58788</v>
      </c>
      <c r="AS39" s="14">
        <f t="shared" si="39"/>
        <v>8199</v>
      </c>
      <c r="AT39" s="14">
        <f t="shared" si="21"/>
        <v>36423</v>
      </c>
      <c r="AU39" s="14">
        <f t="shared" si="33"/>
        <v>111650</v>
      </c>
      <c r="AV39" s="14">
        <f t="shared" si="34"/>
        <v>100368</v>
      </c>
      <c r="AW39" s="14">
        <f t="shared" si="35"/>
        <v>5843</v>
      </c>
      <c r="AX39" s="14">
        <f t="shared" si="36"/>
        <v>2246036</v>
      </c>
      <c r="AY39" s="14">
        <v>2176721</v>
      </c>
      <c r="AZ39" s="14">
        <f t="shared" si="37"/>
        <v>69315</v>
      </c>
      <c r="BA39" s="2"/>
      <c r="BB39" s="14">
        <v>49770</v>
      </c>
      <c r="BC39" s="14">
        <v>8199</v>
      </c>
      <c r="BD39" s="2"/>
      <c r="BE39" s="64">
        <v>78</v>
      </c>
      <c r="BF39" s="64">
        <v>1.087</v>
      </c>
    </row>
    <row r="40" spans="1:58" ht="15" x14ac:dyDescent="0.2">
      <c r="A40" s="20" t="s">
        <v>38</v>
      </c>
      <c r="B40" s="21" t="s">
        <v>118</v>
      </c>
      <c r="C40" s="45">
        <v>368</v>
      </c>
      <c r="D40" s="45">
        <v>0</v>
      </c>
      <c r="E40" s="45">
        <v>53</v>
      </c>
      <c r="F40" s="45">
        <v>0</v>
      </c>
      <c r="G40" s="45">
        <v>54</v>
      </c>
      <c r="H40" s="45">
        <v>0</v>
      </c>
      <c r="I40" s="45">
        <v>0</v>
      </c>
      <c r="J40" s="45"/>
      <c r="K40" s="45">
        <v>0</v>
      </c>
      <c r="L40" s="21"/>
      <c r="M40" s="45">
        <v>0</v>
      </c>
      <c r="N40" s="21">
        <v>0</v>
      </c>
      <c r="O40" s="45"/>
      <c r="P40" s="45"/>
      <c r="Q40" s="45">
        <v>0</v>
      </c>
      <c r="R40" s="45">
        <v>0</v>
      </c>
      <c r="S40" s="45">
        <v>0</v>
      </c>
      <c r="T40" s="45">
        <v>0</v>
      </c>
      <c r="U40" s="45">
        <f t="shared" si="16"/>
        <v>475</v>
      </c>
      <c r="V40" s="45">
        <v>0</v>
      </c>
      <c r="W40" s="45">
        <v>0</v>
      </c>
      <c r="X40" s="45">
        <v>0</v>
      </c>
      <c r="Y40" s="48">
        <f t="shared" si="22"/>
        <v>0</v>
      </c>
      <c r="Z40" s="45">
        <v>4037</v>
      </c>
      <c r="AA40" s="45">
        <f t="shared" si="23"/>
        <v>4409</v>
      </c>
      <c r="AB40" s="48">
        <v>1.5589999999999999</v>
      </c>
      <c r="AC40" s="45">
        <f t="shared" si="24"/>
        <v>1341339</v>
      </c>
      <c r="AD40" s="62">
        <f t="shared" si="25"/>
        <v>752836</v>
      </c>
      <c r="AE40" s="45">
        <f t="shared" si="26"/>
        <v>0</v>
      </c>
      <c r="AF40" s="45">
        <f t="shared" si="27"/>
        <v>0</v>
      </c>
      <c r="AG40" s="45"/>
      <c r="AH40" s="45"/>
      <c r="AI40" s="45"/>
      <c r="AJ40" s="14">
        <f t="shared" si="28"/>
        <v>2094175</v>
      </c>
      <c r="AK40" s="21">
        <f t="shared" si="29"/>
        <v>1.1200000000000001</v>
      </c>
      <c r="AL40" s="45">
        <f t="shared" si="17"/>
        <v>0</v>
      </c>
      <c r="AM40" s="14">
        <f t="shared" si="30"/>
        <v>0</v>
      </c>
      <c r="AN40" s="14">
        <f t="shared" si="31"/>
        <v>0</v>
      </c>
      <c r="AO40" s="14">
        <f t="shared" si="32"/>
        <v>0</v>
      </c>
      <c r="AP40" s="14"/>
      <c r="AQ40" s="14">
        <f t="shared" si="18"/>
        <v>0</v>
      </c>
      <c r="AR40" s="14">
        <f t="shared" si="38"/>
        <v>54947</v>
      </c>
      <c r="AS40" s="14">
        <f t="shared" si="39"/>
        <v>5975</v>
      </c>
      <c r="AT40" s="14">
        <f t="shared" si="21"/>
        <v>27075</v>
      </c>
      <c r="AU40" s="14">
        <f t="shared" si="33"/>
        <v>83125</v>
      </c>
      <c r="AV40" s="14">
        <f t="shared" si="34"/>
        <v>329256</v>
      </c>
      <c r="AW40" s="14">
        <f t="shared" si="35"/>
        <v>7186</v>
      </c>
      <c r="AX40" s="14">
        <f t="shared" si="36"/>
        <v>2601739</v>
      </c>
      <c r="AY40" s="14">
        <v>2242520</v>
      </c>
      <c r="AZ40" s="14">
        <f t="shared" si="37"/>
        <v>359219</v>
      </c>
      <c r="BA40" s="2"/>
      <c r="BB40" s="14">
        <v>54947</v>
      </c>
      <c r="BC40" s="14">
        <v>5975</v>
      </c>
      <c r="BD40" s="2"/>
      <c r="BE40" s="64">
        <v>79</v>
      </c>
      <c r="BF40" s="64">
        <v>1.087</v>
      </c>
    </row>
    <row r="41" spans="1:58" ht="15" x14ac:dyDescent="0.2">
      <c r="A41" s="20" t="s">
        <v>38</v>
      </c>
      <c r="B41" s="21" t="s">
        <v>37</v>
      </c>
      <c r="C41" s="45">
        <v>1400</v>
      </c>
      <c r="D41" s="45">
        <v>0</v>
      </c>
      <c r="E41" s="45">
        <v>165</v>
      </c>
      <c r="F41" s="45">
        <v>0</v>
      </c>
      <c r="G41" s="45">
        <v>26</v>
      </c>
      <c r="H41" s="45">
        <v>2</v>
      </c>
      <c r="I41" s="45">
        <v>0</v>
      </c>
      <c r="J41" s="45"/>
      <c r="K41" s="45">
        <v>1</v>
      </c>
      <c r="L41" s="21"/>
      <c r="M41" s="45">
        <v>0</v>
      </c>
      <c r="N41" s="21">
        <v>0</v>
      </c>
      <c r="O41" s="45"/>
      <c r="P41" s="45"/>
      <c r="Q41" s="45">
        <v>0</v>
      </c>
      <c r="R41" s="45">
        <v>0</v>
      </c>
      <c r="S41" s="45">
        <v>0</v>
      </c>
      <c r="T41" s="45">
        <v>0</v>
      </c>
      <c r="U41" s="45">
        <f t="shared" si="16"/>
        <v>1594</v>
      </c>
      <c r="V41" s="45">
        <v>0</v>
      </c>
      <c r="W41" s="45">
        <v>0</v>
      </c>
      <c r="X41" s="45">
        <v>0</v>
      </c>
      <c r="Y41" s="48">
        <f t="shared" si="22"/>
        <v>0</v>
      </c>
      <c r="Z41" s="45">
        <v>2580</v>
      </c>
      <c r="AA41" s="45">
        <f t="shared" si="23"/>
        <v>2785</v>
      </c>
      <c r="AB41" s="48">
        <v>1.04</v>
      </c>
      <c r="AC41" s="45">
        <f t="shared" si="24"/>
        <v>3404128</v>
      </c>
      <c r="AD41" s="62">
        <f t="shared" si="25"/>
        <v>1033396</v>
      </c>
      <c r="AE41" s="45">
        <f t="shared" si="26"/>
        <v>1239</v>
      </c>
      <c r="AF41" s="45">
        <f t="shared" si="27"/>
        <v>0</v>
      </c>
      <c r="AG41" s="45"/>
      <c r="AH41" s="45"/>
      <c r="AI41" s="45"/>
      <c r="AJ41" s="14">
        <f t="shared" si="28"/>
        <v>4438763</v>
      </c>
      <c r="AK41" s="21">
        <f t="shared" si="29"/>
        <v>1.1200000000000001</v>
      </c>
      <c r="AL41" s="45">
        <f t="shared" si="17"/>
        <v>0</v>
      </c>
      <c r="AM41" s="14">
        <f t="shared" si="30"/>
        <v>0</v>
      </c>
      <c r="AN41" s="14">
        <f t="shared" si="31"/>
        <v>0</v>
      </c>
      <c r="AO41" s="14">
        <f t="shared" si="32"/>
        <v>0</v>
      </c>
      <c r="AP41" s="14"/>
      <c r="AQ41" s="14">
        <f t="shared" si="18"/>
        <v>0</v>
      </c>
      <c r="AR41" s="14">
        <f t="shared" si="38"/>
        <v>161729</v>
      </c>
      <c r="AS41" s="14">
        <f t="shared" si="39"/>
        <v>25349</v>
      </c>
      <c r="AT41" s="14">
        <f t="shared" si="21"/>
        <v>90858</v>
      </c>
      <c r="AU41" s="14">
        <f t="shared" si="33"/>
        <v>278425</v>
      </c>
      <c r="AV41" s="14">
        <f t="shared" si="34"/>
        <v>339048</v>
      </c>
      <c r="AW41" s="14">
        <f t="shared" si="35"/>
        <v>16087</v>
      </c>
      <c r="AX41" s="14">
        <f t="shared" si="36"/>
        <v>5350259</v>
      </c>
      <c r="AY41" s="14">
        <v>5033756</v>
      </c>
      <c r="AZ41" s="14">
        <f t="shared" si="37"/>
        <v>316503</v>
      </c>
      <c r="BA41" s="2"/>
      <c r="BB41" s="14">
        <v>161729</v>
      </c>
      <c r="BC41" s="14">
        <v>25349</v>
      </c>
      <c r="BD41" s="2"/>
      <c r="BE41" s="64">
        <v>80</v>
      </c>
      <c r="BF41" s="64">
        <v>1.0860000000000001</v>
      </c>
    </row>
    <row r="42" spans="1:58" ht="15" x14ac:dyDescent="0.2">
      <c r="A42" s="20" t="s">
        <v>38</v>
      </c>
      <c r="B42" s="21" t="s">
        <v>117</v>
      </c>
      <c r="C42" s="45">
        <v>859</v>
      </c>
      <c r="D42" s="45">
        <v>110</v>
      </c>
      <c r="E42" s="45">
        <v>82</v>
      </c>
      <c r="F42" s="45">
        <v>0</v>
      </c>
      <c r="G42" s="45">
        <v>21</v>
      </c>
      <c r="H42" s="45">
        <v>1</v>
      </c>
      <c r="I42" s="45">
        <v>0</v>
      </c>
      <c r="J42" s="45"/>
      <c r="K42" s="45">
        <v>1</v>
      </c>
      <c r="L42" s="21"/>
      <c r="M42" s="45">
        <v>0</v>
      </c>
      <c r="N42" s="21">
        <v>0</v>
      </c>
      <c r="O42" s="45"/>
      <c r="P42" s="45"/>
      <c r="Q42" s="45">
        <v>59</v>
      </c>
      <c r="R42" s="45">
        <v>0</v>
      </c>
      <c r="S42" s="45">
        <v>0</v>
      </c>
      <c r="T42" s="45">
        <v>0</v>
      </c>
      <c r="U42" s="45">
        <f t="shared" si="16"/>
        <v>1133</v>
      </c>
      <c r="V42" s="45">
        <v>0</v>
      </c>
      <c r="W42" s="45">
        <v>0</v>
      </c>
      <c r="X42" s="45">
        <v>0</v>
      </c>
      <c r="Y42" s="48">
        <f t="shared" si="22"/>
        <v>7.2000000000000064E-2</v>
      </c>
      <c r="Z42" s="45">
        <v>2837</v>
      </c>
      <c r="AA42" s="45">
        <f t="shared" si="23"/>
        <v>3124</v>
      </c>
      <c r="AB42" s="48">
        <v>1.244</v>
      </c>
      <c r="AC42" s="45">
        <f t="shared" si="24"/>
        <v>2498377</v>
      </c>
      <c r="AD42" s="62">
        <f t="shared" si="25"/>
        <v>589176</v>
      </c>
      <c r="AE42" s="45">
        <f t="shared" si="26"/>
        <v>1239</v>
      </c>
      <c r="AF42" s="45">
        <f t="shared" si="27"/>
        <v>0</v>
      </c>
      <c r="AG42" s="45"/>
      <c r="AH42" s="45"/>
      <c r="AI42" s="45"/>
      <c r="AJ42" s="14">
        <f t="shared" si="28"/>
        <v>3088792</v>
      </c>
      <c r="AK42" s="21">
        <f t="shared" si="29"/>
        <v>1.1200000000000001</v>
      </c>
      <c r="AL42" s="45">
        <f t="shared" si="17"/>
        <v>288042</v>
      </c>
      <c r="AM42" s="14">
        <f t="shared" si="30"/>
        <v>0</v>
      </c>
      <c r="AN42" s="14">
        <f t="shared" si="31"/>
        <v>118630</v>
      </c>
      <c r="AO42" s="14">
        <f t="shared" si="32"/>
        <v>18517</v>
      </c>
      <c r="AP42" s="14">
        <f>ROUND(D42*C$88*AP$84,0)</f>
        <v>25718</v>
      </c>
      <c r="AQ42" s="14">
        <f t="shared" si="18"/>
        <v>450907</v>
      </c>
      <c r="AR42" s="14">
        <f t="shared" si="38"/>
        <v>140004</v>
      </c>
      <c r="AS42" s="14">
        <f t="shared" si="39"/>
        <v>18795</v>
      </c>
      <c r="AT42" s="14">
        <f t="shared" si="21"/>
        <v>64581</v>
      </c>
      <c r="AU42" s="14">
        <f t="shared" si="33"/>
        <v>187600</v>
      </c>
      <c r="AV42" s="14">
        <f t="shared" si="34"/>
        <v>208080</v>
      </c>
      <c r="AW42" s="14">
        <f t="shared" si="35"/>
        <v>11637</v>
      </c>
      <c r="AX42" s="14">
        <f t="shared" si="36"/>
        <v>4170396</v>
      </c>
      <c r="AY42" s="14">
        <v>3931750</v>
      </c>
      <c r="AZ42" s="14">
        <f t="shared" si="37"/>
        <v>238646</v>
      </c>
      <c r="BA42" s="2"/>
      <c r="BB42" s="14">
        <v>140004</v>
      </c>
      <c r="BC42" s="14">
        <v>18795</v>
      </c>
      <c r="BD42" s="2"/>
      <c r="BE42" s="64">
        <v>81</v>
      </c>
      <c r="BF42" s="64">
        <v>1.0860000000000001</v>
      </c>
    </row>
    <row r="43" spans="1:58" ht="15" x14ac:dyDescent="0.2">
      <c r="A43" s="20" t="s">
        <v>38</v>
      </c>
      <c r="B43" s="21" t="s">
        <v>116</v>
      </c>
      <c r="C43" s="45">
        <v>520</v>
      </c>
      <c r="D43" s="45">
        <v>67</v>
      </c>
      <c r="E43" s="45">
        <v>54</v>
      </c>
      <c r="F43" s="45">
        <v>0</v>
      </c>
      <c r="G43" s="45">
        <v>10</v>
      </c>
      <c r="H43" s="45">
        <v>0</v>
      </c>
      <c r="I43" s="45">
        <v>0</v>
      </c>
      <c r="J43" s="45"/>
      <c r="K43" s="45">
        <v>0</v>
      </c>
      <c r="L43" s="21"/>
      <c r="M43" s="45">
        <v>0</v>
      </c>
      <c r="N43" s="21">
        <v>0</v>
      </c>
      <c r="O43" s="45"/>
      <c r="P43" s="45"/>
      <c r="Q43" s="45">
        <v>0</v>
      </c>
      <c r="R43" s="45">
        <v>0</v>
      </c>
      <c r="S43" s="45">
        <v>0</v>
      </c>
      <c r="T43" s="45">
        <v>0</v>
      </c>
      <c r="U43" s="45">
        <f t="shared" si="16"/>
        <v>651</v>
      </c>
      <c r="V43" s="45">
        <v>0</v>
      </c>
      <c r="W43" s="45">
        <v>0</v>
      </c>
      <c r="X43" s="45">
        <v>0</v>
      </c>
      <c r="Y43" s="48">
        <f t="shared" si="22"/>
        <v>9.2000000000000082E-2</v>
      </c>
      <c r="Z43" s="45">
        <v>3424</v>
      </c>
      <c r="AA43" s="45">
        <f t="shared" si="23"/>
        <v>3666</v>
      </c>
      <c r="AB43" s="48">
        <v>1.522</v>
      </c>
      <c r="AC43" s="45">
        <f t="shared" si="24"/>
        <v>1850387</v>
      </c>
      <c r="AD43" s="62">
        <f t="shared" si="25"/>
        <v>346024</v>
      </c>
      <c r="AE43" s="45">
        <f t="shared" si="26"/>
        <v>0</v>
      </c>
      <c r="AF43" s="45">
        <f t="shared" si="27"/>
        <v>0</v>
      </c>
      <c r="AG43" s="45"/>
      <c r="AH43" s="45"/>
      <c r="AI43" s="45"/>
      <c r="AJ43" s="14">
        <f t="shared" si="28"/>
        <v>2196411</v>
      </c>
      <c r="AK43" s="21">
        <f t="shared" si="29"/>
        <v>1.1200000000000001</v>
      </c>
      <c r="AL43" s="45">
        <f t="shared" si="17"/>
        <v>175444</v>
      </c>
      <c r="AM43" s="14">
        <f t="shared" si="30"/>
        <v>0</v>
      </c>
      <c r="AN43" s="14">
        <f t="shared" si="31"/>
        <v>0</v>
      </c>
      <c r="AO43" s="14">
        <f t="shared" si="32"/>
        <v>14411</v>
      </c>
      <c r="AP43" s="14"/>
      <c r="AQ43" s="14">
        <f t="shared" si="18"/>
        <v>189855</v>
      </c>
      <c r="AR43" s="14">
        <f t="shared" si="38"/>
        <v>96413</v>
      </c>
      <c r="AS43" s="14">
        <f t="shared" si="39"/>
        <v>10536</v>
      </c>
      <c r="AT43" s="14">
        <f t="shared" si="21"/>
        <v>37107</v>
      </c>
      <c r="AU43" s="14">
        <f t="shared" si="33"/>
        <v>113925</v>
      </c>
      <c r="AV43" s="14">
        <f t="shared" si="34"/>
        <v>115056</v>
      </c>
      <c r="AW43" s="14">
        <f t="shared" si="35"/>
        <v>8626</v>
      </c>
      <c r="AX43" s="14">
        <f t="shared" si="36"/>
        <v>2767929</v>
      </c>
      <c r="AY43" s="14">
        <v>2633639</v>
      </c>
      <c r="AZ43" s="14">
        <f t="shared" si="37"/>
        <v>134290</v>
      </c>
      <c r="BA43" s="2"/>
      <c r="BB43" s="14">
        <v>96413</v>
      </c>
      <c r="BC43" s="14">
        <v>10536</v>
      </c>
      <c r="BD43" s="2"/>
      <c r="BE43" s="64">
        <v>82</v>
      </c>
      <c r="BF43" s="64">
        <v>1.085</v>
      </c>
    </row>
    <row r="44" spans="1:58" ht="15" x14ac:dyDescent="0.2">
      <c r="A44" s="20" t="s">
        <v>38</v>
      </c>
      <c r="B44" s="21" t="s">
        <v>115</v>
      </c>
      <c r="C44" s="45">
        <v>412</v>
      </c>
      <c r="D44" s="45">
        <v>37</v>
      </c>
      <c r="E44" s="45">
        <v>43</v>
      </c>
      <c r="F44" s="45">
        <v>0</v>
      </c>
      <c r="G44" s="45">
        <v>12</v>
      </c>
      <c r="H44" s="45">
        <v>1</v>
      </c>
      <c r="I44" s="45">
        <v>0</v>
      </c>
      <c r="J44" s="45"/>
      <c r="K44" s="45">
        <v>1</v>
      </c>
      <c r="L44" s="21"/>
      <c r="M44" s="45">
        <v>0</v>
      </c>
      <c r="N44" s="21">
        <v>0</v>
      </c>
      <c r="O44" s="45"/>
      <c r="P44" s="45"/>
      <c r="Q44" s="45">
        <v>0</v>
      </c>
      <c r="R44" s="45">
        <v>0</v>
      </c>
      <c r="S44" s="45">
        <v>0</v>
      </c>
      <c r="T44" s="45">
        <v>0</v>
      </c>
      <c r="U44" s="45">
        <f t="shared" si="16"/>
        <v>506</v>
      </c>
      <c r="V44" s="45">
        <v>0</v>
      </c>
      <c r="W44" s="45">
        <v>0</v>
      </c>
      <c r="X44" s="45">
        <v>0</v>
      </c>
      <c r="Y44" s="48">
        <f t="shared" si="22"/>
        <v>0</v>
      </c>
      <c r="Z44" s="45">
        <v>3274</v>
      </c>
      <c r="AA44" s="45">
        <f t="shared" si="23"/>
        <v>3535</v>
      </c>
      <c r="AB44" s="48">
        <v>1.42</v>
      </c>
      <c r="AC44" s="45">
        <f t="shared" si="24"/>
        <v>1367824</v>
      </c>
      <c r="AD44" s="62">
        <f t="shared" si="25"/>
        <v>322644</v>
      </c>
      <c r="AE44" s="45">
        <f t="shared" si="26"/>
        <v>1239</v>
      </c>
      <c r="AF44" s="45">
        <f t="shared" si="27"/>
        <v>0</v>
      </c>
      <c r="AG44" s="45"/>
      <c r="AH44" s="45"/>
      <c r="AI44" s="45"/>
      <c r="AJ44" s="14">
        <f t="shared" si="28"/>
        <v>1691707</v>
      </c>
      <c r="AK44" s="21">
        <f t="shared" si="29"/>
        <v>1.1200000000000001</v>
      </c>
      <c r="AL44" s="45">
        <f t="shared" si="17"/>
        <v>96887</v>
      </c>
      <c r="AM44" s="14">
        <f t="shared" si="30"/>
        <v>0</v>
      </c>
      <c r="AN44" s="14">
        <f t="shared" si="31"/>
        <v>0</v>
      </c>
      <c r="AO44" s="14">
        <f t="shared" si="32"/>
        <v>0</v>
      </c>
      <c r="AP44" s="14"/>
      <c r="AQ44" s="14">
        <f t="shared" si="18"/>
        <v>96887</v>
      </c>
      <c r="AR44" s="14">
        <f t="shared" si="38"/>
        <v>76723</v>
      </c>
      <c r="AS44" s="14">
        <f t="shared" si="39"/>
        <v>9349</v>
      </c>
      <c r="AT44" s="14">
        <f t="shared" si="21"/>
        <v>28842</v>
      </c>
      <c r="AU44" s="14">
        <f t="shared" si="33"/>
        <v>88200</v>
      </c>
      <c r="AV44" s="14">
        <f t="shared" si="34"/>
        <v>116280</v>
      </c>
      <c r="AW44" s="14">
        <f t="shared" si="35"/>
        <v>6463</v>
      </c>
      <c r="AX44" s="14">
        <f t="shared" si="36"/>
        <v>2114451</v>
      </c>
      <c r="AY44" s="14">
        <v>2044796</v>
      </c>
      <c r="AZ44" s="14">
        <f t="shared" si="37"/>
        <v>69655</v>
      </c>
      <c r="BA44" s="2"/>
      <c r="BB44" s="14">
        <v>76723</v>
      </c>
      <c r="BC44" s="14">
        <v>9349</v>
      </c>
      <c r="BD44" s="2"/>
      <c r="BE44" s="64">
        <v>83</v>
      </c>
      <c r="BF44" s="64">
        <v>1.085</v>
      </c>
    </row>
    <row r="45" spans="1:58" ht="15" x14ac:dyDescent="0.2">
      <c r="A45" s="20" t="s">
        <v>38</v>
      </c>
      <c r="B45" s="21" t="s">
        <v>114</v>
      </c>
      <c r="C45" s="45">
        <v>506</v>
      </c>
      <c r="D45" s="45">
        <v>54</v>
      </c>
      <c r="E45" s="45">
        <v>51</v>
      </c>
      <c r="F45" s="45">
        <v>0</v>
      </c>
      <c r="G45" s="45">
        <v>9</v>
      </c>
      <c r="H45" s="45">
        <v>0</v>
      </c>
      <c r="I45" s="45">
        <v>0</v>
      </c>
      <c r="J45" s="45"/>
      <c r="K45" s="45">
        <v>2</v>
      </c>
      <c r="L45" s="21"/>
      <c r="M45" s="45">
        <v>0</v>
      </c>
      <c r="N45" s="21">
        <v>0</v>
      </c>
      <c r="O45" s="45"/>
      <c r="P45" s="45"/>
      <c r="Q45" s="45">
        <v>0</v>
      </c>
      <c r="R45" s="45">
        <v>0</v>
      </c>
      <c r="S45" s="45">
        <v>0</v>
      </c>
      <c r="T45" s="45">
        <v>0</v>
      </c>
      <c r="U45" s="45">
        <f t="shared" si="16"/>
        <v>622</v>
      </c>
      <c r="V45" s="45">
        <v>0</v>
      </c>
      <c r="W45" s="45">
        <v>0</v>
      </c>
      <c r="X45" s="45">
        <v>0</v>
      </c>
      <c r="Y45" s="48">
        <f t="shared" si="22"/>
        <v>9.8999999999999977E-2</v>
      </c>
      <c r="Z45" s="45">
        <v>3362</v>
      </c>
      <c r="AA45" s="45">
        <f t="shared" si="23"/>
        <v>3627</v>
      </c>
      <c r="AB45" s="48">
        <v>1.502</v>
      </c>
      <c r="AC45" s="45">
        <f t="shared" si="24"/>
        <v>1776908</v>
      </c>
      <c r="AD45" s="62">
        <f t="shared" si="25"/>
        <v>322644</v>
      </c>
      <c r="AE45" s="45">
        <f t="shared" si="26"/>
        <v>2478</v>
      </c>
      <c r="AF45" s="45">
        <f t="shared" si="27"/>
        <v>0</v>
      </c>
      <c r="AG45" s="45"/>
      <c r="AH45" s="45"/>
      <c r="AI45" s="45"/>
      <c r="AJ45" s="14">
        <f t="shared" si="28"/>
        <v>2102030</v>
      </c>
      <c r="AK45" s="21">
        <f t="shared" si="29"/>
        <v>1.1200000000000001</v>
      </c>
      <c r="AL45" s="45">
        <f t="shared" si="17"/>
        <v>141402</v>
      </c>
      <c r="AM45" s="14">
        <f t="shared" si="30"/>
        <v>0</v>
      </c>
      <c r="AN45" s="14">
        <f t="shared" si="31"/>
        <v>0</v>
      </c>
      <c r="AO45" s="14">
        <f t="shared" si="32"/>
        <v>12499</v>
      </c>
      <c r="AP45" s="14"/>
      <c r="AQ45" s="14">
        <f t="shared" si="18"/>
        <v>153901</v>
      </c>
      <c r="AR45" s="14">
        <f t="shared" si="38"/>
        <v>91905</v>
      </c>
      <c r="AS45" s="14">
        <f t="shared" si="39"/>
        <v>11024</v>
      </c>
      <c r="AT45" s="14">
        <f t="shared" si="21"/>
        <v>35454</v>
      </c>
      <c r="AU45" s="14">
        <f t="shared" si="33"/>
        <v>108500</v>
      </c>
      <c r="AV45" s="14">
        <f t="shared" si="34"/>
        <v>106488</v>
      </c>
      <c r="AW45" s="14">
        <f t="shared" si="35"/>
        <v>8279</v>
      </c>
      <c r="AX45" s="14">
        <f t="shared" si="36"/>
        <v>2617581</v>
      </c>
      <c r="AY45" s="14">
        <v>2408917</v>
      </c>
      <c r="AZ45" s="14">
        <f t="shared" si="37"/>
        <v>208664</v>
      </c>
      <c r="BA45" s="2"/>
      <c r="BB45" s="14">
        <v>91905</v>
      </c>
      <c r="BC45" s="14">
        <v>11024</v>
      </c>
      <c r="BD45" s="2"/>
      <c r="BE45" s="64">
        <v>84</v>
      </c>
      <c r="BF45" s="64">
        <v>1.0840000000000001</v>
      </c>
    </row>
    <row r="46" spans="1:58" ht="15" x14ac:dyDescent="0.2">
      <c r="A46" s="20" t="s">
        <v>35</v>
      </c>
      <c r="B46" s="21" t="s">
        <v>113</v>
      </c>
      <c r="C46" s="45">
        <v>289</v>
      </c>
      <c r="D46" s="45">
        <v>31</v>
      </c>
      <c r="E46" s="45">
        <v>32</v>
      </c>
      <c r="F46" s="45">
        <v>0</v>
      </c>
      <c r="G46" s="45">
        <v>10</v>
      </c>
      <c r="H46" s="45">
        <v>0</v>
      </c>
      <c r="I46" s="45">
        <v>0</v>
      </c>
      <c r="J46" s="45"/>
      <c r="K46" s="45">
        <v>0</v>
      </c>
      <c r="L46" s="21"/>
      <c r="M46" s="45">
        <v>0</v>
      </c>
      <c r="N46" s="21">
        <v>0</v>
      </c>
      <c r="O46" s="45"/>
      <c r="P46" s="45"/>
      <c r="Q46" s="45">
        <v>0</v>
      </c>
      <c r="R46" s="45">
        <v>0</v>
      </c>
      <c r="S46" s="45">
        <v>0</v>
      </c>
      <c r="T46" s="45">
        <v>0</v>
      </c>
      <c r="U46" s="45">
        <f t="shared" si="16"/>
        <v>362</v>
      </c>
      <c r="V46" s="45">
        <v>0</v>
      </c>
      <c r="W46" s="45">
        <v>0</v>
      </c>
      <c r="X46" s="45">
        <v>0</v>
      </c>
      <c r="Y46" s="48">
        <f t="shared" si="22"/>
        <v>0</v>
      </c>
      <c r="Z46" s="45">
        <v>3742</v>
      </c>
      <c r="AA46" s="45">
        <f t="shared" si="23"/>
        <v>4076</v>
      </c>
      <c r="AB46" s="48">
        <v>1.704</v>
      </c>
      <c r="AC46" s="45">
        <f t="shared" si="24"/>
        <v>1151362</v>
      </c>
      <c r="AD46" s="62">
        <f t="shared" si="25"/>
        <v>243152</v>
      </c>
      <c r="AE46" s="45">
        <f t="shared" si="26"/>
        <v>0</v>
      </c>
      <c r="AF46" s="45">
        <f t="shared" si="27"/>
        <v>0</v>
      </c>
      <c r="AG46" s="45"/>
      <c r="AH46" s="45"/>
      <c r="AI46" s="45"/>
      <c r="AJ46" s="14">
        <f t="shared" si="28"/>
        <v>1394514</v>
      </c>
      <c r="AK46" s="21">
        <f t="shared" si="29"/>
        <v>1.1200000000000001</v>
      </c>
      <c r="AL46" s="45">
        <f t="shared" si="17"/>
        <v>81175</v>
      </c>
      <c r="AM46" s="14">
        <f t="shared" si="30"/>
        <v>0</v>
      </c>
      <c r="AN46" s="14">
        <f t="shared" si="31"/>
        <v>0</v>
      </c>
      <c r="AO46" s="14">
        <f t="shared" si="32"/>
        <v>0</v>
      </c>
      <c r="AP46" s="14"/>
      <c r="AQ46" s="14">
        <f t="shared" si="18"/>
        <v>81175</v>
      </c>
      <c r="AR46" s="14">
        <f t="shared" si="38"/>
        <v>57447</v>
      </c>
      <c r="AS46" s="14">
        <f t="shared" si="39"/>
        <v>6101</v>
      </c>
      <c r="AT46" s="14">
        <f t="shared" si="21"/>
        <v>20634</v>
      </c>
      <c r="AU46" s="14">
        <f t="shared" si="33"/>
        <v>63350</v>
      </c>
      <c r="AV46" s="14">
        <f t="shared" si="34"/>
        <v>88128</v>
      </c>
      <c r="AW46" s="14">
        <f t="shared" si="35"/>
        <v>5473</v>
      </c>
      <c r="AX46" s="14">
        <f t="shared" si="36"/>
        <v>1716822</v>
      </c>
      <c r="AY46" s="14">
        <v>1583574</v>
      </c>
      <c r="AZ46" s="14">
        <f t="shared" si="37"/>
        <v>133248</v>
      </c>
      <c r="BA46" s="2"/>
      <c r="BB46" s="14">
        <v>57447</v>
      </c>
      <c r="BC46" s="14">
        <v>6101</v>
      </c>
      <c r="BD46" s="2"/>
      <c r="BE46" s="64">
        <v>85</v>
      </c>
      <c r="BF46" s="64">
        <v>1.0840000000000001</v>
      </c>
    </row>
    <row r="47" spans="1:58" ht="15" x14ac:dyDescent="0.2">
      <c r="A47" s="20" t="s">
        <v>35</v>
      </c>
      <c r="B47" s="21" t="s">
        <v>112</v>
      </c>
      <c r="C47" s="45">
        <v>999</v>
      </c>
      <c r="D47" s="45">
        <v>0</v>
      </c>
      <c r="E47" s="45">
        <v>119</v>
      </c>
      <c r="F47" s="45">
        <v>0</v>
      </c>
      <c r="G47" s="45">
        <v>44</v>
      </c>
      <c r="H47" s="45">
        <v>1</v>
      </c>
      <c r="I47" s="45">
        <v>0</v>
      </c>
      <c r="J47" s="45"/>
      <c r="K47" s="45">
        <v>0</v>
      </c>
      <c r="L47" s="21"/>
      <c r="M47" s="45">
        <v>0</v>
      </c>
      <c r="N47" s="21">
        <v>0</v>
      </c>
      <c r="O47" s="45"/>
      <c r="P47" s="45"/>
      <c r="Q47" s="45">
        <v>0</v>
      </c>
      <c r="R47" s="45">
        <v>0</v>
      </c>
      <c r="S47" s="45">
        <v>0</v>
      </c>
      <c r="T47" s="45">
        <v>0</v>
      </c>
      <c r="U47" s="45">
        <f t="shared" si="16"/>
        <v>1163</v>
      </c>
      <c r="V47" s="45">
        <v>0</v>
      </c>
      <c r="W47" s="45">
        <v>0</v>
      </c>
      <c r="X47" s="45">
        <v>0</v>
      </c>
      <c r="Y47" s="48">
        <f t="shared" si="22"/>
        <v>0</v>
      </c>
      <c r="Z47" s="45">
        <v>3260</v>
      </c>
      <c r="AA47" s="45">
        <f t="shared" si="23"/>
        <v>3558</v>
      </c>
      <c r="AB47" s="48">
        <v>1.353</v>
      </c>
      <c r="AC47" s="45">
        <f t="shared" si="24"/>
        <v>3160151</v>
      </c>
      <c r="AD47" s="62">
        <f t="shared" si="25"/>
        <v>977284</v>
      </c>
      <c r="AE47" s="45">
        <f t="shared" si="26"/>
        <v>0</v>
      </c>
      <c r="AF47" s="45">
        <f t="shared" si="27"/>
        <v>0</v>
      </c>
      <c r="AG47" s="45"/>
      <c r="AH47" s="45"/>
      <c r="AI47" s="45"/>
      <c r="AJ47" s="14">
        <f t="shared" si="28"/>
        <v>4137435</v>
      </c>
      <c r="AK47" s="21">
        <f t="shared" si="29"/>
        <v>1.1200000000000001</v>
      </c>
      <c r="AL47" s="45">
        <f t="shared" si="17"/>
        <v>0</v>
      </c>
      <c r="AM47" s="14">
        <f t="shared" si="30"/>
        <v>0</v>
      </c>
      <c r="AN47" s="14">
        <f t="shared" si="31"/>
        <v>0</v>
      </c>
      <c r="AO47" s="14">
        <f t="shared" si="32"/>
        <v>0</v>
      </c>
      <c r="AP47" s="14"/>
      <c r="AQ47" s="14">
        <f t="shared" si="18"/>
        <v>0</v>
      </c>
      <c r="AR47" s="14">
        <f t="shared" si="38"/>
        <v>200981</v>
      </c>
      <c r="AS47" s="14">
        <f t="shared" si="39"/>
        <v>25826</v>
      </c>
      <c r="AT47" s="14">
        <f t="shared" si="21"/>
        <v>66291</v>
      </c>
      <c r="AU47" s="14">
        <f t="shared" si="33"/>
        <v>203350</v>
      </c>
      <c r="AV47" s="14">
        <f t="shared" si="34"/>
        <v>365976</v>
      </c>
      <c r="AW47" s="14">
        <f t="shared" si="35"/>
        <v>15270</v>
      </c>
      <c r="AX47" s="14">
        <f t="shared" si="36"/>
        <v>5015129</v>
      </c>
      <c r="AY47" s="14">
        <v>4711708</v>
      </c>
      <c r="AZ47" s="14">
        <f t="shared" si="37"/>
        <v>303421</v>
      </c>
      <c r="BA47" s="2"/>
      <c r="BB47" s="14">
        <v>200981</v>
      </c>
      <c r="BC47" s="14">
        <v>25826</v>
      </c>
      <c r="BD47" s="2"/>
      <c r="BE47" s="64">
        <v>86</v>
      </c>
      <c r="BF47" s="64">
        <v>1.083</v>
      </c>
    </row>
    <row r="48" spans="1:58" ht="15" x14ac:dyDescent="0.2">
      <c r="A48" s="20" t="s">
        <v>35</v>
      </c>
      <c r="B48" s="21" t="s">
        <v>111</v>
      </c>
      <c r="C48" s="45">
        <v>382</v>
      </c>
      <c r="D48" s="45">
        <v>78</v>
      </c>
      <c r="E48" s="45">
        <v>37</v>
      </c>
      <c r="F48" s="45">
        <v>0</v>
      </c>
      <c r="G48" s="45">
        <v>12</v>
      </c>
      <c r="H48" s="45">
        <v>0</v>
      </c>
      <c r="I48" s="45">
        <v>0</v>
      </c>
      <c r="J48" s="45"/>
      <c r="K48" s="45">
        <v>4</v>
      </c>
      <c r="L48" s="21"/>
      <c r="M48" s="45">
        <v>0</v>
      </c>
      <c r="N48" s="21">
        <v>0</v>
      </c>
      <c r="O48" s="45"/>
      <c r="P48" s="45"/>
      <c r="Q48" s="45">
        <v>0</v>
      </c>
      <c r="R48" s="45">
        <v>0</v>
      </c>
      <c r="S48" s="45">
        <v>0</v>
      </c>
      <c r="T48" s="45">
        <v>0</v>
      </c>
      <c r="U48" s="45">
        <f t="shared" si="16"/>
        <v>513</v>
      </c>
      <c r="V48" s="45">
        <v>0</v>
      </c>
      <c r="W48" s="45">
        <v>0</v>
      </c>
      <c r="X48" s="45">
        <v>0</v>
      </c>
      <c r="Y48" s="48">
        <f t="shared" si="22"/>
        <v>8.6999999999999966E-2</v>
      </c>
      <c r="Z48" s="45">
        <v>3257</v>
      </c>
      <c r="AA48" s="45">
        <f t="shared" si="23"/>
        <v>3493</v>
      </c>
      <c r="AB48" s="48">
        <v>1.4350000000000001</v>
      </c>
      <c r="AC48" s="45">
        <f t="shared" si="24"/>
        <v>1281621</v>
      </c>
      <c r="AD48" s="62">
        <f t="shared" si="25"/>
        <v>285236</v>
      </c>
      <c r="AE48" s="45">
        <f t="shared" si="26"/>
        <v>4957</v>
      </c>
      <c r="AF48" s="45">
        <f t="shared" si="27"/>
        <v>0</v>
      </c>
      <c r="AG48" s="45"/>
      <c r="AH48" s="45"/>
      <c r="AI48" s="45"/>
      <c r="AJ48" s="14">
        <f t="shared" si="28"/>
        <v>1571814</v>
      </c>
      <c r="AK48" s="21">
        <f t="shared" si="29"/>
        <v>1.1200000000000001</v>
      </c>
      <c r="AL48" s="45">
        <f t="shared" si="17"/>
        <v>204248</v>
      </c>
      <c r="AM48" s="14">
        <f t="shared" si="30"/>
        <v>0</v>
      </c>
      <c r="AN48" s="14">
        <f t="shared" si="31"/>
        <v>0</v>
      </c>
      <c r="AO48" s="14">
        <f t="shared" si="32"/>
        <v>15866</v>
      </c>
      <c r="AP48" s="14"/>
      <c r="AQ48" s="14">
        <f t="shared" si="18"/>
        <v>220114</v>
      </c>
      <c r="AR48" s="14">
        <f t="shared" si="38"/>
        <v>77137</v>
      </c>
      <c r="AS48" s="14">
        <f t="shared" si="39"/>
        <v>9145</v>
      </c>
      <c r="AT48" s="14">
        <f t="shared" si="21"/>
        <v>29241</v>
      </c>
      <c r="AU48" s="14">
        <f t="shared" si="33"/>
        <v>89075</v>
      </c>
      <c r="AV48" s="14">
        <f t="shared" si="34"/>
        <v>104040</v>
      </c>
      <c r="AW48" s="14">
        <f t="shared" si="35"/>
        <v>6058</v>
      </c>
      <c r="AX48" s="14">
        <f t="shared" si="36"/>
        <v>2106624</v>
      </c>
      <c r="AY48" s="14">
        <v>1913409</v>
      </c>
      <c r="AZ48" s="14">
        <f t="shared" si="37"/>
        <v>193215</v>
      </c>
      <c r="BA48" s="2"/>
      <c r="BB48" s="14">
        <v>77137</v>
      </c>
      <c r="BC48" s="14">
        <v>9145</v>
      </c>
      <c r="BD48" s="2"/>
      <c r="BE48" s="64">
        <v>87</v>
      </c>
      <c r="BF48" s="64">
        <v>1.083</v>
      </c>
    </row>
    <row r="49" spans="1:58" ht="15" x14ac:dyDescent="0.2">
      <c r="A49" s="20" t="s">
        <v>28</v>
      </c>
      <c r="B49" s="21" t="s">
        <v>110</v>
      </c>
      <c r="C49" s="45">
        <v>430</v>
      </c>
      <c r="D49" s="45">
        <v>36</v>
      </c>
      <c r="E49" s="45">
        <v>12</v>
      </c>
      <c r="F49" s="45">
        <v>0</v>
      </c>
      <c r="G49" s="45">
        <v>3</v>
      </c>
      <c r="H49" s="45">
        <v>0</v>
      </c>
      <c r="I49" s="45">
        <v>0</v>
      </c>
      <c r="J49" s="45"/>
      <c r="K49" s="45">
        <v>0</v>
      </c>
      <c r="L49" s="21"/>
      <c r="M49" s="45">
        <v>0</v>
      </c>
      <c r="N49" s="21">
        <v>0</v>
      </c>
      <c r="O49" s="45"/>
      <c r="P49" s="45"/>
      <c r="Q49" s="45">
        <v>0</v>
      </c>
      <c r="R49" s="45">
        <v>0</v>
      </c>
      <c r="S49" s="45">
        <v>0</v>
      </c>
      <c r="T49" s="45">
        <v>0</v>
      </c>
      <c r="U49" s="45">
        <f t="shared" si="16"/>
        <v>481</v>
      </c>
      <c r="V49" s="45">
        <v>0</v>
      </c>
      <c r="W49" s="45">
        <v>0</v>
      </c>
      <c r="X49" s="45">
        <v>0</v>
      </c>
      <c r="Y49" s="48">
        <f t="shared" si="22"/>
        <v>0</v>
      </c>
      <c r="Z49" s="45">
        <v>3390</v>
      </c>
      <c r="AA49" s="45">
        <f t="shared" si="23"/>
        <v>3598</v>
      </c>
      <c r="AB49" s="48">
        <v>1.544</v>
      </c>
      <c r="AC49" s="45">
        <f t="shared" si="24"/>
        <v>1552245</v>
      </c>
      <c r="AD49" s="62">
        <f t="shared" si="25"/>
        <v>84168</v>
      </c>
      <c r="AE49" s="45">
        <f t="shared" si="26"/>
        <v>0</v>
      </c>
      <c r="AF49" s="45">
        <f t="shared" si="27"/>
        <v>0</v>
      </c>
      <c r="AG49" s="45"/>
      <c r="AH49" s="45"/>
      <c r="AI49" s="45"/>
      <c r="AJ49" s="14">
        <f t="shared" si="28"/>
        <v>1636413</v>
      </c>
      <c r="AK49" s="21">
        <f t="shared" si="29"/>
        <v>1.1200000000000001</v>
      </c>
      <c r="AL49" s="45">
        <f t="shared" si="17"/>
        <v>94268</v>
      </c>
      <c r="AM49" s="14">
        <f t="shared" si="30"/>
        <v>0</v>
      </c>
      <c r="AN49" s="14">
        <f t="shared" si="31"/>
        <v>0</v>
      </c>
      <c r="AO49" s="14">
        <f t="shared" si="32"/>
        <v>0</v>
      </c>
      <c r="AP49" s="14"/>
      <c r="AQ49" s="14">
        <f t="shared" si="18"/>
        <v>94268</v>
      </c>
      <c r="AR49" s="14">
        <f t="shared" si="38"/>
        <v>62599</v>
      </c>
      <c r="AS49" s="14">
        <f t="shared" si="39"/>
        <v>6786</v>
      </c>
      <c r="AT49" s="14">
        <f t="shared" si="21"/>
        <v>27417</v>
      </c>
      <c r="AU49" s="14">
        <f t="shared" si="33"/>
        <v>84175</v>
      </c>
      <c r="AV49" s="14">
        <f t="shared" si="34"/>
        <v>29376</v>
      </c>
      <c r="AW49" s="14">
        <f t="shared" si="35"/>
        <v>6668</v>
      </c>
      <c r="AX49" s="14">
        <f t="shared" si="36"/>
        <v>1947702</v>
      </c>
      <c r="AY49" s="14">
        <v>1858921</v>
      </c>
      <c r="AZ49" s="14">
        <f t="shared" si="37"/>
        <v>88781</v>
      </c>
      <c r="BA49" s="2"/>
      <c r="BB49" s="14">
        <v>62599</v>
      </c>
      <c r="BC49" s="14">
        <v>6786</v>
      </c>
      <c r="BD49" s="2"/>
      <c r="BE49" s="64">
        <v>88</v>
      </c>
      <c r="BF49" s="64">
        <v>1.0820000000000001</v>
      </c>
    </row>
    <row r="50" spans="1:58" ht="15" x14ac:dyDescent="0.2">
      <c r="A50" s="20" t="s">
        <v>28</v>
      </c>
      <c r="B50" s="21" t="s">
        <v>109</v>
      </c>
      <c r="C50" s="45">
        <v>34</v>
      </c>
      <c r="D50" s="45">
        <v>0</v>
      </c>
      <c r="E50" s="45">
        <v>2</v>
      </c>
      <c r="F50" s="45">
        <v>0</v>
      </c>
      <c r="G50" s="45">
        <v>0</v>
      </c>
      <c r="H50" s="45">
        <v>0</v>
      </c>
      <c r="I50" s="45">
        <v>0</v>
      </c>
      <c r="J50" s="45"/>
      <c r="K50" s="45">
        <v>0</v>
      </c>
      <c r="L50" s="21"/>
      <c r="M50" s="45">
        <v>0</v>
      </c>
      <c r="N50" s="21">
        <v>0</v>
      </c>
      <c r="O50" s="45"/>
      <c r="P50" s="45"/>
      <c r="Q50" s="45">
        <v>0</v>
      </c>
      <c r="R50" s="45">
        <v>0</v>
      </c>
      <c r="S50" s="45">
        <v>0</v>
      </c>
      <c r="T50" s="45">
        <v>0</v>
      </c>
      <c r="U50" s="45">
        <f t="shared" si="16"/>
        <v>36</v>
      </c>
      <c r="V50" s="45">
        <v>0</v>
      </c>
      <c r="W50" s="45">
        <v>0</v>
      </c>
      <c r="X50" s="45">
        <v>0</v>
      </c>
      <c r="Y50" s="48">
        <f t="shared" si="22"/>
        <v>0</v>
      </c>
      <c r="Z50" s="45">
        <v>5213</v>
      </c>
      <c r="AA50" s="45">
        <f t="shared" si="23"/>
        <v>6331</v>
      </c>
      <c r="AB50" s="48">
        <v>2.0099999999999998</v>
      </c>
      <c r="AC50" s="45">
        <f t="shared" si="24"/>
        <v>159779</v>
      </c>
      <c r="AD50" s="62">
        <f t="shared" si="25"/>
        <v>9352</v>
      </c>
      <c r="AE50" s="45">
        <f t="shared" si="26"/>
        <v>0</v>
      </c>
      <c r="AF50" s="45">
        <f t="shared" si="27"/>
        <v>0</v>
      </c>
      <c r="AG50" s="65">
        <f>ROUND(MAX(SUM(AC50:AF50),C$95*6.5)-SUM(AC50:AF50),0)</f>
        <v>58798</v>
      </c>
      <c r="AH50" s="45"/>
      <c r="AI50" s="45"/>
      <c r="AJ50" s="14">
        <f t="shared" si="28"/>
        <v>227929</v>
      </c>
      <c r="AK50" s="21">
        <f t="shared" si="29"/>
        <v>1.1200000000000001</v>
      </c>
      <c r="AL50" s="45">
        <f t="shared" si="17"/>
        <v>0</v>
      </c>
      <c r="AM50" s="14">
        <f t="shared" si="30"/>
        <v>0</v>
      </c>
      <c r="AN50" s="14">
        <f t="shared" si="31"/>
        <v>0</v>
      </c>
      <c r="AO50" s="14">
        <f t="shared" si="32"/>
        <v>0</v>
      </c>
      <c r="AP50" s="14"/>
      <c r="AQ50" s="14">
        <f t="shared" si="18"/>
        <v>0</v>
      </c>
      <c r="AR50" s="14">
        <f t="shared" si="38"/>
        <v>7063</v>
      </c>
      <c r="AS50" s="14">
        <f t="shared" si="39"/>
        <v>1309</v>
      </c>
      <c r="AT50" s="14">
        <f t="shared" si="21"/>
        <v>2052</v>
      </c>
      <c r="AU50" s="14">
        <f t="shared" si="33"/>
        <v>6300</v>
      </c>
      <c r="AV50" s="14">
        <f t="shared" si="34"/>
        <v>2448</v>
      </c>
      <c r="AW50" s="14">
        <f t="shared" si="35"/>
        <v>702</v>
      </c>
      <c r="AX50" s="14">
        <f t="shared" si="36"/>
        <v>247803</v>
      </c>
      <c r="AY50" s="14">
        <v>233603</v>
      </c>
      <c r="AZ50" s="14">
        <f t="shared" si="37"/>
        <v>14200</v>
      </c>
      <c r="BA50" s="2"/>
      <c r="BB50" s="14">
        <v>7063</v>
      </c>
      <c r="BC50" s="14">
        <v>1309</v>
      </c>
      <c r="BD50" s="2"/>
      <c r="BE50" s="64">
        <v>89</v>
      </c>
      <c r="BF50" s="64">
        <v>1.0820000000000001</v>
      </c>
    </row>
    <row r="51" spans="1:58" ht="15" x14ac:dyDescent="0.2">
      <c r="A51" s="20" t="s">
        <v>28</v>
      </c>
      <c r="B51" s="21" t="s">
        <v>221</v>
      </c>
      <c r="C51" s="45">
        <v>358</v>
      </c>
      <c r="D51" s="45">
        <v>59</v>
      </c>
      <c r="E51" s="45">
        <v>12</v>
      </c>
      <c r="F51" s="45">
        <v>1</v>
      </c>
      <c r="G51" s="45">
        <v>7</v>
      </c>
      <c r="H51" s="45">
        <v>0</v>
      </c>
      <c r="I51" s="45">
        <v>0</v>
      </c>
      <c r="J51" s="45"/>
      <c r="K51" s="45">
        <v>4</v>
      </c>
      <c r="L51" s="21"/>
      <c r="M51" s="45">
        <v>0</v>
      </c>
      <c r="N51" s="21">
        <v>0</v>
      </c>
      <c r="O51" s="45"/>
      <c r="P51" s="45"/>
      <c r="Q51" s="45">
        <v>8</v>
      </c>
      <c r="R51" s="45">
        <v>1</v>
      </c>
      <c r="S51" s="45">
        <v>0</v>
      </c>
      <c r="T51" s="45">
        <v>0</v>
      </c>
      <c r="U51" s="45">
        <f t="shared" si="16"/>
        <v>450</v>
      </c>
      <c r="V51" s="45">
        <v>0</v>
      </c>
      <c r="W51" s="45">
        <v>0</v>
      </c>
      <c r="X51" s="45">
        <v>0</v>
      </c>
      <c r="Y51" s="48">
        <f t="shared" si="22"/>
        <v>9.6000000000000085E-2</v>
      </c>
      <c r="Z51" s="45">
        <v>3765</v>
      </c>
      <c r="AA51" s="45">
        <f t="shared" si="23"/>
        <v>4007</v>
      </c>
      <c r="AB51" s="48">
        <v>1.7749999999999999</v>
      </c>
      <c r="AC51" s="45">
        <f t="shared" si="24"/>
        <v>1485682</v>
      </c>
      <c r="AD51" s="62">
        <f t="shared" si="25"/>
        <v>121576</v>
      </c>
      <c r="AE51" s="45">
        <f t="shared" si="26"/>
        <v>4957</v>
      </c>
      <c r="AF51" s="45">
        <f t="shared" si="27"/>
        <v>0</v>
      </c>
      <c r="AG51" s="45"/>
      <c r="AH51" s="45"/>
      <c r="AI51" s="45"/>
      <c r="AJ51" s="14">
        <f t="shared" si="28"/>
        <v>1612215</v>
      </c>
      <c r="AK51" s="21">
        <f t="shared" si="29"/>
        <v>1.1200000000000001</v>
      </c>
      <c r="AL51" s="45">
        <f t="shared" si="17"/>
        <v>154495</v>
      </c>
      <c r="AM51" s="14">
        <f t="shared" si="30"/>
        <v>6313</v>
      </c>
      <c r="AN51" s="14">
        <f t="shared" si="31"/>
        <v>16857</v>
      </c>
      <c r="AO51" s="14">
        <f t="shared" si="32"/>
        <v>13242</v>
      </c>
      <c r="AP51" s="14"/>
      <c r="AQ51" s="14">
        <f t="shared" si="18"/>
        <v>190907</v>
      </c>
      <c r="AR51" s="14">
        <f t="shared" si="38"/>
        <v>79963</v>
      </c>
      <c r="AS51" s="14">
        <f t="shared" si="39"/>
        <v>9571</v>
      </c>
      <c r="AT51" s="14">
        <f t="shared" si="21"/>
        <v>25604</v>
      </c>
      <c r="AU51" s="14">
        <f t="shared" si="33"/>
        <v>76475</v>
      </c>
      <c r="AV51" s="14">
        <f t="shared" si="34"/>
        <v>51041</v>
      </c>
      <c r="AW51" s="14">
        <f t="shared" si="35"/>
        <v>6563</v>
      </c>
      <c r="AX51" s="14">
        <f t="shared" si="36"/>
        <v>2052339</v>
      </c>
      <c r="AY51" s="14">
        <v>2011792</v>
      </c>
      <c r="AZ51" s="14">
        <f t="shared" si="37"/>
        <v>40547</v>
      </c>
      <c r="BA51" s="2"/>
      <c r="BB51" s="14">
        <v>79963</v>
      </c>
      <c r="BC51" s="14">
        <v>9571</v>
      </c>
      <c r="BD51" s="2"/>
      <c r="BE51" s="64">
        <v>90</v>
      </c>
      <c r="BF51" s="64">
        <v>1.081</v>
      </c>
    </row>
    <row r="52" spans="1:58" ht="15" x14ac:dyDescent="0.2">
      <c r="A52" s="20" t="s">
        <v>28</v>
      </c>
      <c r="B52" s="21" t="s">
        <v>222</v>
      </c>
      <c r="C52" s="45">
        <v>641</v>
      </c>
      <c r="D52" s="45">
        <v>53</v>
      </c>
      <c r="E52" s="45">
        <v>35</v>
      </c>
      <c r="F52" s="45">
        <v>0</v>
      </c>
      <c r="G52" s="45">
        <v>18</v>
      </c>
      <c r="H52" s="45">
        <v>1</v>
      </c>
      <c r="I52" s="45">
        <v>0</v>
      </c>
      <c r="J52" s="45"/>
      <c r="K52" s="45">
        <v>9</v>
      </c>
      <c r="L52" s="21"/>
      <c r="M52" s="45">
        <v>0</v>
      </c>
      <c r="N52" s="21">
        <v>0</v>
      </c>
      <c r="O52" s="45"/>
      <c r="P52" s="45"/>
      <c r="Q52" s="45">
        <v>0</v>
      </c>
      <c r="R52" s="45">
        <v>0</v>
      </c>
      <c r="S52" s="45">
        <v>0</v>
      </c>
      <c r="T52" s="45">
        <v>0</v>
      </c>
      <c r="U52" s="45">
        <f t="shared" si="16"/>
        <v>757</v>
      </c>
      <c r="V52" s="45">
        <v>0</v>
      </c>
      <c r="W52" s="45">
        <v>0</v>
      </c>
      <c r="X52" s="45">
        <v>0</v>
      </c>
      <c r="Y52" s="48">
        <f t="shared" si="22"/>
        <v>9.8999999999999977E-2</v>
      </c>
      <c r="Z52" s="45">
        <v>3449</v>
      </c>
      <c r="AA52" s="45">
        <f t="shared" si="23"/>
        <v>3720</v>
      </c>
      <c r="AB52" s="48">
        <v>1.5429999999999999</v>
      </c>
      <c r="AC52" s="45">
        <f t="shared" si="24"/>
        <v>2312429</v>
      </c>
      <c r="AD52" s="62">
        <f t="shared" si="25"/>
        <v>341348</v>
      </c>
      <c r="AE52" s="45">
        <f t="shared" si="26"/>
        <v>11152</v>
      </c>
      <c r="AF52" s="45">
        <f t="shared" si="27"/>
        <v>0</v>
      </c>
      <c r="AG52" s="45"/>
      <c r="AH52" s="45"/>
      <c r="AI52" s="45"/>
      <c r="AJ52" s="14">
        <f t="shared" si="28"/>
        <v>2664929</v>
      </c>
      <c r="AK52" s="21">
        <f t="shared" si="29"/>
        <v>1.1200000000000001</v>
      </c>
      <c r="AL52" s="45">
        <f t="shared" si="17"/>
        <v>138784</v>
      </c>
      <c r="AM52" s="14">
        <f t="shared" si="30"/>
        <v>0</v>
      </c>
      <c r="AN52" s="14">
        <f t="shared" si="31"/>
        <v>0</v>
      </c>
      <c r="AO52" s="14">
        <f t="shared" si="32"/>
        <v>12267</v>
      </c>
      <c r="AP52" s="14"/>
      <c r="AQ52" s="14">
        <f t="shared" si="18"/>
        <v>151051</v>
      </c>
      <c r="AR52" s="14">
        <f t="shared" si="38"/>
        <v>109776</v>
      </c>
      <c r="AS52" s="14">
        <f t="shared" si="39"/>
        <v>13877</v>
      </c>
      <c r="AT52" s="14">
        <f t="shared" si="21"/>
        <v>43149</v>
      </c>
      <c r="AU52" s="14">
        <f t="shared" si="33"/>
        <v>130725</v>
      </c>
      <c r="AV52" s="14">
        <f t="shared" si="34"/>
        <v>135864</v>
      </c>
      <c r="AW52" s="14">
        <f t="shared" si="35"/>
        <v>10541</v>
      </c>
      <c r="AX52" s="14">
        <f t="shared" si="36"/>
        <v>3259912</v>
      </c>
      <c r="AY52" s="14">
        <v>3008301</v>
      </c>
      <c r="AZ52" s="14">
        <f t="shared" si="37"/>
        <v>251611</v>
      </c>
      <c r="BA52" s="2"/>
      <c r="BB52" s="14">
        <v>109776</v>
      </c>
      <c r="BC52" s="14">
        <v>13877</v>
      </c>
      <c r="BD52" s="2"/>
      <c r="BE52" s="64">
        <v>91</v>
      </c>
      <c r="BF52" s="64">
        <v>1.081</v>
      </c>
    </row>
    <row r="53" spans="1:58" ht="15" x14ac:dyDescent="0.2">
      <c r="A53" s="20" t="s">
        <v>28</v>
      </c>
      <c r="B53" s="21" t="s">
        <v>30</v>
      </c>
      <c r="C53" s="45">
        <v>4851</v>
      </c>
      <c r="D53" s="45">
        <v>394</v>
      </c>
      <c r="E53" s="45">
        <v>353</v>
      </c>
      <c r="F53" s="45">
        <v>0</v>
      </c>
      <c r="G53" s="45">
        <v>203</v>
      </c>
      <c r="H53" s="45">
        <v>14</v>
      </c>
      <c r="I53" s="45">
        <v>0</v>
      </c>
      <c r="J53" s="45"/>
      <c r="K53" s="45">
        <v>10</v>
      </c>
      <c r="L53" s="21"/>
      <c r="M53" s="45">
        <v>0</v>
      </c>
      <c r="N53" s="21">
        <v>0</v>
      </c>
      <c r="O53" s="45"/>
      <c r="P53" s="45"/>
      <c r="Q53" s="45">
        <v>0</v>
      </c>
      <c r="R53" s="45">
        <v>0</v>
      </c>
      <c r="S53" s="45">
        <v>0</v>
      </c>
      <c r="T53" s="45">
        <v>0</v>
      </c>
      <c r="U53" s="45">
        <f t="shared" si="16"/>
        <v>5825</v>
      </c>
      <c r="V53" s="45">
        <v>0</v>
      </c>
      <c r="W53" s="45">
        <v>0</v>
      </c>
      <c r="X53" s="45">
        <v>0</v>
      </c>
      <c r="Y53" s="48">
        <f t="shared" si="22"/>
        <v>0</v>
      </c>
      <c r="Z53" s="45">
        <v>2732</v>
      </c>
      <c r="AA53" s="45">
        <f t="shared" si="23"/>
        <v>2945</v>
      </c>
      <c r="AB53" s="48">
        <v>1.0960000000000001</v>
      </c>
      <c r="AC53" s="45">
        <f t="shared" si="24"/>
        <v>12430435</v>
      </c>
      <c r="AD53" s="62">
        <f t="shared" si="25"/>
        <v>3680012</v>
      </c>
      <c r="AE53" s="45">
        <f t="shared" si="26"/>
        <v>12391</v>
      </c>
      <c r="AF53" s="45">
        <f t="shared" si="27"/>
        <v>0</v>
      </c>
      <c r="AG53" s="45"/>
      <c r="AH53" s="45"/>
      <c r="AI53" s="45"/>
      <c r="AJ53" s="14">
        <f t="shared" si="28"/>
        <v>16122838</v>
      </c>
      <c r="AK53" s="21">
        <f t="shared" si="29"/>
        <v>1.1200000000000001</v>
      </c>
      <c r="AL53" s="45">
        <f t="shared" si="17"/>
        <v>1031713</v>
      </c>
      <c r="AM53" s="14">
        <f t="shared" si="30"/>
        <v>0</v>
      </c>
      <c r="AN53" s="14">
        <f t="shared" si="31"/>
        <v>0</v>
      </c>
      <c r="AO53" s="14">
        <f t="shared" si="32"/>
        <v>0</v>
      </c>
      <c r="AP53" s="14"/>
      <c r="AQ53" s="14">
        <f t="shared" si="18"/>
        <v>1031713</v>
      </c>
      <c r="AR53" s="14">
        <f t="shared" si="38"/>
        <v>604198</v>
      </c>
      <c r="AS53" s="14">
        <f t="shared" si="39"/>
        <v>84390</v>
      </c>
      <c r="AT53" s="14">
        <f t="shared" si="21"/>
        <v>332025</v>
      </c>
      <c r="AU53" s="14">
        <f t="shared" si="33"/>
        <v>1015175</v>
      </c>
      <c r="AV53" s="14">
        <f t="shared" si="34"/>
        <v>1494504</v>
      </c>
      <c r="AW53" s="14">
        <f t="shared" si="35"/>
        <v>57763</v>
      </c>
      <c r="AX53" s="14">
        <f t="shared" si="36"/>
        <v>20742606</v>
      </c>
      <c r="AY53" s="14">
        <v>19545891</v>
      </c>
      <c r="AZ53" s="14">
        <f t="shared" si="37"/>
        <v>1196715</v>
      </c>
      <c r="BA53" s="2"/>
      <c r="BB53" s="14">
        <v>604198</v>
      </c>
      <c r="BC53" s="14">
        <v>84390</v>
      </c>
      <c r="BD53" s="2"/>
      <c r="BE53" s="64">
        <v>92</v>
      </c>
      <c r="BF53" s="64">
        <v>1.08</v>
      </c>
    </row>
    <row r="54" spans="1:58" ht="15" x14ac:dyDescent="0.2">
      <c r="A54" s="20" t="s">
        <v>28</v>
      </c>
      <c r="B54" s="21" t="s">
        <v>108</v>
      </c>
      <c r="C54" s="45">
        <v>348</v>
      </c>
      <c r="D54" s="45">
        <v>54</v>
      </c>
      <c r="E54" s="45">
        <v>16</v>
      </c>
      <c r="F54" s="45">
        <v>0</v>
      </c>
      <c r="G54" s="45">
        <v>4</v>
      </c>
      <c r="H54" s="45">
        <v>2</v>
      </c>
      <c r="I54" s="45">
        <v>0</v>
      </c>
      <c r="J54" s="45"/>
      <c r="K54" s="45">
        <v>0</v>
      </c>
      <c r="L54" s="21"/>
      <c r="M54" s="45">
        <v>0</v>
      </c>
      <c r="N54" s="21">
        <v>0</v>
      </c>
      <c r="O54" s="45"/>
      <c r="P54" s="45"/>
      <c r="Q54" s="45">
        <v>0</v>
      </c>
      <c r="R54" s="45">
        <v>0</v>
      </c>
      <c r="S54" s="45">
        <v>0</v>
      </c>
      <c r="T54" s="45">
        <v>0</v>
      </c>
      <c r="U54" s="45">
        <f t="shared" si="16"/>
        <v>424</v>
      </c>
      <c r="V54" s="45">
        <v>0</v>
      </c>
      <c r="W54" s="45">
        <v>0</v>
      </c>
      <c r="X54" s="45">
        <v>0</v>
      </c>
      <c r="Y54" s="48">
        <f t="shared" si="22"/>
        <v>9.8999999999999977E-2</v>
      </c>
      <c r="Z54" s="45">
        <v>3256</v>
      </c>
      <c r="AA54" s="45">
        <f t="shared" si="23"/>
        <v>3514</v>
      </c>
      <c r="AB54" s="48">
        <v>1.4810000000000001</v>
      </c>
      <c r="AC54" s="45">
        <f t="shared" si="24"/>
        <v>1204977</v>
      </c>
      <c r="AD54" s="62">
        <f t="shared" si="25"/>
        <v>130928</v>
      </c>
      <c r="AE54" s="45">
        <f t="shared" si="26"/>
        <v>0</v>
      </c>
      <c r="AF54" s="45">
        <f t="shared" si="27"/>
        <v>0</v>
      </c>
      <c r="AG54" s="45"/>
      <c r="AH54" s="45"/>
      <c r="AI54" s="45"/>
      <c r="AJ54" s="14">
        <f t="shared" si="28"/>
        <v>1335905</v>
      </c>
      <c r="AK54" s="21">
        <f t="shared" si="29"/>
        <v>1.1200000000000001</v>
      </c>
      <c r="AL54" s="45">
        <f t="shared" si="17"/>
        <v>141402</v>
      </c>
      <c r="AM54" s="14">
        <f t="shared" si="30"/>
        <v>0</v>
      </c>
      <c r="AN54" s="14">
        <f t="shared" si="31"/>
        <v>0</v>
      </c>
      <c r="AO54" s="14">
        <f t="shared" si="32"/>
        <v>12499</v>
      </c>
      <c r="AP54" s="14"/>
      <c r="AQ54" s="14">
        <f t="shared" si="18"/>
        <v>153901</v>
      </c>
      <c r="AR54" s="14">
        <f t="shared" si="38"/>
        <v>58450</v>
      </c>
      <c r="AS54" s="14">
        <f t="shared" si="39"/>
        <v>7428</v>
      </c>
      <c r="AT54" s="14">
        <f t="shared" si="21"/>
        <v>24168</v>
      </c>
      <c r="AU54" s="14">
        <f t="shared" si="33"/>
        <v>73850</v>
      </c>
      <c r="AV54" s="14">
        <f t="shared" si="34"/>
        <v>48960</v>
      </c>
      <c r="AW54" s="14">
        <f t="shared" si="35"/>
        <v>5318</v>
      </c>
      <c r="AX54" s="14">
        <f t="shared" si="36"/>
        <v>1707980</v>
      </c>
      <c r="AY54" s="14">
        <v>1580666</v>
      </c>
      <c r="AZ54" s="14">
        <f t="shared" si="37"/>
        <v>127314</v>
      </c>
      <c r="BA54" s="2"/>
      <c r="BB54" s="14">
        <v>58450</v>
      </c>
      <c r="BC54" s="14">
        <v>7428</v>
      </c>
      <c r="BD54" s="2"/>
      <c r="BE54" s="64">
        <v>93</v>
      </c>
      <c r="BF54" s="64">
        <v>1.08</v>
      </c>
    </row>
    <row r="55" spans="1:58" ht="15" x14ac:dyDescent="0.2">
      <c r="A55" s="20" t="s">
        <v>28</v>
      </c>
      <c r="B55" s="21" t="s">
        <v>107</v>
      </c>
      <c r="C55" s="45">
        <v>915</v>
      </c>
      <c r="D55" s="45">
        <v>66</v>
      </c>
      <c r="E55" s="45">
        <v>54</v>
      </c>
      <c r="F55" s="45">
        <v>0</v>
      </c>
      <c r="G55" s="45">
        <v>27</v>
      </c>
      <c r="H55" s="45">
        <v>1</v>
      </c>
      <c r="I55" s="45">
        <v>0</v>
      </c>
      <c r="J55" s="45"/>
      <c r="K55" s="45">
        <v>1</v>
      </c>
      <c r="L55" s="21"/>
      <c r="M55" s="45">
        <v>0</v>
      </c>
      <c r="N55" s="21">
        <v>0</v>
      </c>
      <c r="O55" s="45"/>
      <c r="P55" s="45"/>
      <c r="Q55" s="45">
        <v>0</v>
      </c>
      <c r="R55" s="45">
        <v>0</v>
      </c>
      <c r="S55" s="45">
        <v>0</v>
      </c>
      <c r="T55" s="45">
        <v>0</v>
      </c>
      <c r="U55" s="45">
        <f t="shared" si="16"/>
        <v>1064</v>
      </c>
      <c r="V55" s="45">
        <v>0</v>
      </c>
      <c r="W55" s="45">
        <v>0</v>
      </c>
      <c r="X55" s="45">
        <v>0</v>
      </c>
      <c r="Y55" s="48">
        <f t="shared" si="22"/>
        <v>9.2999999999999972E-2</v>
      </c>
      <c r="Z55" s="45">
        <v>3568</v>
      </c>
      <c r="AA55" s="45">
        <f t="shared" si="23"/>
        <v>3851</v>
      </c>
      <c r="AB55" s="48">
        <v>1.587</v>
      </c>
      <c r="AC55" s="45">
        <f t="shared" si="24"/>
        <v>3395021</v>
      </c>
      <c r="AD55" s="62">
        <f t="shared" si="25"/>
        <v>514360</v>
      </c>
      <c r="AE55" s="45">
        <f t="shared" si="26"/>
        <v>1239</v>
      </c>
      <c r="AF55" s="45">
        <f t="shared" si="27"/>
        <v>0</v>
      </c>
      <c r="AG55" s="45"/>
      <c r="AH55" s="45"/>
      <c r="AI55" s="45"/>
      <c r="AJ55" s="14">
        <f t="shared" si="28"/>
        <v>3910620</v>
      </c>
      <c r="AK55" s="21">
        <f t="shared" si="29"/>
        <v>1.1200000000000001</v>
      </c>
      <c r="AL55" s="45">
        <f t="shared" si="17"/>
        <v>172825</v>
      </c>
      <c r="AM55" s="14">
        <f t="shared" si="30"/>
        <v>0</v>
      </c>
      <c r="AN55" s="14">
        <f t="shared" si="31"/>
        <v>0</v>
      </c>
      <c r="AO55" s="14">
        <f t="shared" si="32"/>
        <v>14351</v>
      </c>
      <c r="AP55" s="14"/>
      <c r="AQ55" s="14">
        <f t="shared" si="18"/>
        <v>187176</v>
      </c>
      <c r="AR55" s="14">
        <f t="shared" si="38"/>
        <v>101652</v>
      </c>
      <c r="AS55" s="14">
        <f t="shared" si="39"/>
        <v>12797</v>
      </c>
      <c r="AT55" s="14">
        <f t="shared" si="21"/>
        <v>60648</v>
      </c>
      <c r="AU55" s="14">
        <f t="shared" si="33"/>
        <v>185850</v>
      </c>
      <c r="AV55" s="14">
        <f t="shared" si="34"/>
        <v>203184</v>
      </c>
      <c r="AW55" s="14">
        <f t="shared" si="35"/>
        <v>15370</v>
      </c>
      <c r="AX55" s="14">
        <f t="shared" si="36"/>
        <v>4677297</v>
      </c>
      <c r="AY55" s="14">
        <v>4192936</v>
      </c>
      <c r="AZ55" s="14">
        <f t="shared" si="37"/>
        <v>484361</v>
      </c>
      <c r="BA55" s="2"/>
      <c r="BB55" s="14">
        <v>101652</v>
      </c>
      <c r="BC55" s="14">
        <v>12797</v>
      </c>
      <c r="BD55" s="2"/>
      <c r="BE55" s="64">
        <v>94</v>
      </c>
      <c r="BF55" s="64">
        <v>1.079</v>
      </c>
    </row>
    <row r="56" spans="1:58" ht="15" x14ac:dyDescent="0.2">
      <c r="A56" s="20" t="s">
        <v>24</v>
      </c>
      <c r="B56" s="21" t="s">
        <v>106</v>
      </c>
      <c r="C56" s="45">
        <v>428</v>
      </c>
      <c r="D56" s="45">
        <v>0</v>
      </c>
      <c r="E56" s="45">
        <v>34</v>
      </c>
      <c r="F56" s="45">
        <v>0</v>
      </c>
      <c r="G56" s="45">
        <v>24</v>
      </c>
      <c r="H56" s="45">
        <v>0</v>
      </c>
      <c r="I56" s="45">
        <v>0</v>
      </c>
      <c r="J56" s="45"/>
      <c r="K56" s="45">
        <v>0</v>
      </c>
      <c r="L56" s="21"/>
      <c r="M56" s="45">
        <v>0</v>
      </c>
      <c r="N56" s="21">
        <v>0</v>
      </c>
      <c r="O56" s="45"/>
      <c r="P56" s="45"/>
      <c r="Q56" s="45">
        <v>0</v>
      </c>
      <c r="R56" s="45">
        <v>0</v>
      </c>
      <c r="S56" s="45">
        <v>0</v>
      </c>
      <c r="T56" s="45">
        <v>0</v>
      </c>
      <c r="U56" s="45">
        <f t="shared" si="16"/>
        <v>486</v>
      </c>
      <c r="V56" s="45">
        <v>0</v>
      </c>
      <c r="W56" s="45">
        <v>0</v>
      </c>
      <c r="X56" s="45">
        <v>0</v>
      </c>
      <c r="Y56" s="48">
        <f t="shared" si="22"/>
        <v>0</v>
      </c>
      <c r="Z56" s="45">
        <v>3735</v>
      </c>
      <c r="AA56" s="45">
        <f t="shared" si="23"/>
        <v>4046</v>
      </c>
      <c r="AB56" s="48">
        <v>1.5820000000000001</v>
      </c>
      <c r="AC56" s="45">
        <f t="shared" si="24"/>
        <v>1583050</v>
      </c>
      <c r="AD56" s="62">
        <f t="shared" si="25"/>
        <v>383432</v>
      </c>
      <c r="AE56" s="45">
        <f t="shared" si="26"/>
        <v>0</v>
      </c>
      <c r="AF56" s="45">
        <f t="shared" si="27"/>
        <v>0</v>
      </c>
      <c r="AG56" s="45"/>
      <c r="AH56" s="45"/>
      <c r="AI56" s="45"/>
      <c r="AJ56" s="14">
        <f t="shared" si="28"/>
        <v>1966482</v>
      </c>
      <c r="AK56" s="21">
        <f t="shared" si="29"/>
        <v>1.1200000000000001</v>
      </c>
      <c r="AL56" s="45">
        <f t="shared" si="17"/>
        <v>0</v>
      </c>
      <c r="AM56" s="14">
        <f t="shared" si="30"/>
        <v>0</v>
      </c>
      <c r="AN56" s="14">
        <f t="shared" si="31"/>
        <v>0</v>
      </c>
      <c r="AO56" s="14">
        <f t="shared" si="32"/>
        <v>0</v>
      </c>
      <c r="AP56" s="14"/>
      <c r="AQ56" s="14">
        <f t="shared" si="18"/>
        <v>0</v>
      </c>
      <c r="AR56" s="14">
        <f t="shared" si="38"/>
        <v>79313</v>
      </c>
      <c r="AS56" s="14">
        <f t="shared" si="39"/>
        <v>8425</v>
      </c>
      <c r="AT56" s="14">
        <f t="shared" si="21"/>
        <v>27702</v>
      </c>
      <c r="AU56" s="14">
        <f t="shared" si="33"/>
        <v>85050</v>
      </c>
      <c r="AV56" s="14">
        <f t="shared" si="34"/>
        <v>159120</v>
      </c>
      <c r="AW56" s="14">
        <f t="shared" si="35"/>
        <v>7461</v>
      </c>
      <c r="AX56" s="14">
        <f t="shared" si="36"/>
        <v>2333553</v>
      </c>
      <c r="AY56" s="14">
        <v>2155239</v>
      </c>
      <c r="AZ56" s="14">
        <f t="shared" si="37"/>
        <v>178314</v>
      </c>
      <c r="BA56" s="2"/>
      <c r="BB56" s="14">
        <v>79313</v>
      </c>
      <c r="BC56" s="14">
        <v>8425</v>
      </c>
      <c r="BD56" s="2"/>
      <c r="BE56" s="64">
        <v>95</v>
      </c>
      <c r="BF56" s="64">
        <v>1.079</v>
      </c>
    </row>
    <row r="57" spans="1:58" ht="15" x14ac:dyDescent="0.2">
      <c r="A57" s="20" t="s">
        <v>24</v>
      </c>
      <c r="B57" s="21" t="s">
        <v>105</v>
      </c>
      <c r="C57" s="45">
        <v>705</v>
      </c>
      <c r="D57" s="45">
        <v>125</v>
      </c>
      <c r="E57" s="45">
        <v>35</v>
      </c>
      <c r="F57" s="45">
        <v>1</v>
      </c>
      <c r="G57" s="45">
        <v>16</v>
      </c>
      <c r="H57" s="45">
        <v>1</v>
      </c>
      <c r="I57" s="45">
        <v>0</v>
      </c>
      <c r="J57" s="45"/>
      <c r="K57" s="45">
        <v>1</v>
      </c>
      <c r="L57" s="21"/>
      <c r="M57" s="45">
        <v>0</v>
      </c>
      <c r="N57" s="21">
        <v>0</v>
      </c>
      <c r="O57" s="45"/>
      <c r="P57" s="45"/>
      <c r="Q57" s="45">
        <v>0</v>
      </c>
      <c r="R57" s="45">
        <v>0</v>
      </c>
      <c r="S57" s="45">
        <v>0</v>
      </c>
      <c r="T57" s="45">
        <v>0</v>
      </c>
      <c r="U57" s="45">
        <f t="shared" si="16"/>
        <v>884</v>
      </c>
      <c r="V57" s="45">
        <v>0</v>
      </c>
      <c r="W57" s="45">
        <v>0</v>
      </c>
      <c r="X57" s="45">
        <v>0</v>
      </c>
      <c r="Y57" s="48">
        <f t="shared" si="22"/>
        <v>6.4999999999999947E-2</v>
      </c>
      <c r="Z57" s="45">
        <v>2490</v>
      </c>
      <c r="AA57" s="45">
        <f t="shared" si="23"/>
        <v>2723</v>
      </c>
      <c r="AB57" s="48">
        <v>1.05</v>
      </c>
      <c r="AC57" s="45">
        <f t="shared" si="24"/>
        <v>1730705</v>
      </c>
      <c r="AD57" s="62">
        <f t="shared" si="25"/>
        <v>322644</v>
      </c>
      <c r="AE57" s="45">
        <f t="shared" si="26"/>
        <v>1239</v>
      </c>
      <c r="AF57" s="45">
        <f t="shared" si="27"/>
        <v>0</v>
      </c>
      <c r="AG57" s="45"/>
      <c r="AH57" s="45"/>
      <c r="AI57" s="45"/>
      <c r="AJ57" s="14">
        <f t="shared" si="28"/>
        <v>2054588</v>
      </c>
      <c r="AK57" s="21">
        <f t="shared" si="29"/>
        <v>1.1200000000000001</v>
      </c>
      <c r="AL57" s="45">
        <f t="shared" si="17"/>
        <v>327320</v>
      </c>
      <c r="AM57" s="14">
        <f t="shared" si="30"/>
        <v>6313</v>
      </c>
      <c r="AN57" s="14">
        <f t="shared" si="31"/>
        <v>0</v>
      </c>
      <c r="AO57" s="14">
        <f t="shared" si="32"/>
        <v>18996</v>
      </c>
      <c r="AP57" s="14"/>
      <c r="AQ57" s="14">
        <f t="shared" si="18"/>
        <v>352629</v>
      </c>
      <c r="AR57" s="14">
        <f t="shared" si="38"/>
        <v>81328</v>
      </c>
      <c r="AS57" s="14">
        <f t="shared" si="39"/>
        <v>10608</v>
      </c>
      <c r="AT57" s="14">
        <f t="shared" si="21"/>
        <v>50388</v>
      </c>
      <c r="AU57" s="14">
        <f t="shared" si="33"/>
        <v>154350</v>
      </c>
      <c r="AV57" s="14">
        <f t="shared" si="34"/>
        <v>128153</v>
      </c>
      <c r="AW57" s="14">
        <f t="shared" si="35"/>
        <v>7724</v>
      </c>
      <c r="AX57" s="14">
        <f t="shared" si="36"/>
        <v>2839768</v>
      </c>
      <c r="AY57" s="14">
        <v>2630714</v>
      </c>
      <c r="AZ57" s="14">
        <f t="shared" si="37"/>
        <v>209054</v>
      </c>
      <c r="BA57" s="2"/>
      <c r="BB57" s="14">
        <v>57098</v>
      </c>
      <c r="BC57" s="14">
        <v>8499</v>
      </c>
      <c r="BD57" s="2"/>
      <c r="BE57" s="64">
        <v>96</v>
      </c>
      <c r="BF57" s="64">
        <v>1.0780000000000001</v>
      </c>
    </row>
    <row r="58" spans="1:58" ht="15" x14ac:dyDescent="0.2">
      <c r="A58" s="20" t="s">
        <v>24</v>
      </c>
      <c r="B58" s="21" t="s">
        <v>104</v>
      </c>
      <c r="C58" s="45">
        <v>618</v>
      </c>
      <c r="D58" s="45">
        <v>85</v>
      </c>
      <c r="E58" s="45">
        <v>46</v>
      </c>
      <c r="F58" s="45">
        <v>0</v>
      </c>
      <c r="G58" s="45">
        <v>14</v>
      </c>
      <c r="H58" s="45">
        <v>1</v>
      </c>
      <c r="I58" s="45">
        <v>0</v>
      </c>
      <c r="J58" s="45"/>
      <c r="K58" s="45">
        <v>0</v>
      </c>
      <c r="L58" s="21"/>
      <c r="M58" s="45">
        <v>0</v>
      </c>
      <c r="N58" s="21">
        <v>0</v>
      </c>
      <c r="O58" s="45"/>
      <c r="P58" s="45"/>
      <c r="Q58" s="45">
        <v>0</v>
      </c>
      <c r="R58" s="45">
        <v>0</v>
      </c>
      <c r="S58" s="45">
        <v>0</v>
      </c>
      <c r="T58" s="45">
        <v>0</v>
      </c>
      <c r="U58" s="45">
        <f t="shared" si="16"/>
        <v>764</v>
      </c>
      <c r="V58" s="45">
        <v>0</v>
      </c>
      <c r="W58" s="45">
        <v>0</v>
      </c>
      <c r="X58" s="45">
        <v>0</v>
      </c>
      <c r="Y58" s="48">
        <f t="shared" si="22"/>
        <v>8.4000000000000075E-2</v>
      </c>
      <c r="Z58" s="45">
        <v>3023</v>
      </c>
      <c r="AA58" s="45">
        <f t="shared" si="23"/>
        <v>3241</v>
      </c>
      <c r="AB58" s="48">
        <v>1.302</v>
      </c>
      <c r="AC58" s="45">
        <f t="shared" si="24"/>
        <v>1881239</v>
      </c>
      <c r="AD58" s="62">
        <f t="shared" si="25"/>
        <v>355376</v>
      </c>
      <c r="AE58" s="45">
        <f t="shared" si="26"/>
        <v>0</v>
      </c>
      <c r="AF58" s="45">
        <f t="shared" si="27"/>
        <v>0</v>
      </c>
      <c r="AG58" s="45"/>
      <c r="AH58" s="45"/>
      <c r="AI58" s="45"/>
      <c r="AJ58" s="14">
        <f t="shared" si="28"/>
        <v>2236615</v>
      </c>
      <c r="AK58" s="21">
        <f t="shared" si="29"/>
        <v>1.1200000000000001</v>
      </c>
      <c r="AL58" s="45">
        <f t="shared" si="17"/>
        <v>222578</v>
      </c>
      <c r="AM58" s="14">
        <f t="shared" si="30"/>
        <v>0</v>
      </c>
      <c r="AN58" s="14">
        <f t="shared" si="31"/>
        <v>0</v>
      </c>
      <c r="AO58" s="14">
        <f t="shared" si="32"/>
        <v>16693</v>
      </c>
      <c r="AP58" s="14"/>
      <c r="AQ58" s="14">
        <f t="shared" si="18"/>
        <v>239271</v>
      </c>
      <c r="AR58" s="14">
        <f t="shared" si="38"/>
        <v>85821</v>
      </c>
      <c r="AS58" s="14">
        <f t="shared" si="39"/>
        <v>11810</v>
      </c>
      <c r="AT58" s="14">
        <f t="shared" si="21"/>
        <v>43548</v>
      </c>
      <c r="AU58" s="14">
        <f t="shared" si="33"/>
        <v>133525</v>
      </c>
      <c r="AV58" s="14">
        <f t="shared" si="34"/>
        <v>129744</v>
      </c>
      <c r="AW58" s="14">
        <f t="shared" si="35"/>
        <v>8579</v>
      </c>
      <c r="AX58" s="14">
        <f t="shared" si="36"/>
        <v>2888913</v>
      </c>
      <c r="AY58" s="14">
        <v>2857721</v>
      </c>
      <c r="AZ58" s="14">
        <f t="shared" si="37"/>
        <v>31192</v>
      </c>
      <c r="BA58" s="2"/>
      <c r="BB58" s="14">
        <v>85821</v>
      </c>
      <c r="BC58" s="14">
        <v>11810</v>
      </c>
      <c r="BD58" s="2"/>
      <c r="BE58" s="64">
        <v>97</v>
      </c>
      <c r="BF58" s="64">
        <v>1.0780000000000001</v>
      </c>
    </row>
    <row r="59" spans="1:58" ht="15" x14ac:dyDescent="0.2">
      <c r="A59" s="20" t="s">
        <v>24</v>
      </c>
      <c r="B59" s="21" t="s">
        <v>103</v>
      </c>
      <c r="C59" s="45">
        <v>1276</v>
      </c>
      <c r="D59" s="45">
        <v>0</v>
      </c>
      <c r="E59" s="45">
        <v>88</v>
      </c>
      <c r="F59" s="45">
        <v>0</v>
      </c>
      <c r="G59" s="45">
        <v>37</v>
      </c>
      <c r="H59" s="45">
        <v>2</v>
      </c>
      <c r="I59" s="45">
        <v>0</v>
      </c>
      <c r="J59" s="45"/>
      <c r="K59" s="45">
        <v>4</v>
      </c>
      <c r="L59" s="21"/>
      <c r="M59" s="45">
        <v>0</v>
      </c>
      <c r="N59" s="21">
        <v>0</v>
      </c>
      <c r="O59" s="45"/>
      <c r="P59" s="45"/>
      <c r="Q59" s="45">
        <v>0</v>
      </c>
      <c r="R59" s="45">
        <v>0</v>
      </c>
      <c r="S59" s="45">
        <v>0</v>
      </c>
      <c r="T59" s="45">
        <v>0</v>
      </c>
      <c r="U59" s="45">
        <f t="shared" si="16"/>
        <v>1407</v>
      </c>
      <c r="V59" s="45">
        <v>0</v>
      </c>
      <c r="W59" s="45">
        <v>0</v>
      </c>
      <c r="X59" s="45">
        <v>0</v>
      </c>
      <c r="Y59" s="48">
        <f t="shared" si="22"/>
        <v>0</v>
      </c>
      <c r="Z59" s="45">
        <v>3106</v>
      </c>
      <c r="AA59" s="45">
        <f t="shared" si="23"/>
        <v>3301</v>
      </c>
      <c r="AB59" s="48">
        <v>1.2949999999999999</v>
      </c>
      <c r="AC59" s="45">
        <f t="shared" si="24"/>
        <v>3863358</v>
      </c>
      <c r="AD59" s="62">
        <f t="shared" si="25"/>
        <v>776216</v>
      </c>
      <c r="AE59" s="45">
        <f t="shared" si="26"/>
        <v>4957</v>
      </c>
      <c r="AF59" s="45">
        <f t="shared" si="27"/>
        <v>0</v>
      </c>
      <c r="AG59" s="45"/>
      <c r="AH59" s="45"/>
      <c r="AI59" s="45"/>
      <c r="AJ59" s="14">
        <f t="shared" si="28"/>
        <v>4644531</v>
      </c>
      <c r="AK59" s="21">
        <f t="shared" si="29"/>
        <v>1.1200000000000001</v>
      </c>
      <c r="AL59" s="45">
        <f t="shared" si="17"/>
        <v>0</v>
      </c>
      <c r="AM59" s="14">
        <f t="shared" si="30"/>
        <v>0</v>
      </c>
      <c r="AN59" s="14">
        <f t="shared" si="31"/>
        <v>0</v>
      </c>
      <c r="AO59" s="14">
        <f t="shared" si="32"/>
        <v>0</v>
      </c>
      <c r="AP59" s="14"/>
      <c r="AQ59" s="14">
        <f t="shared" si="18"/>
        <v>0</v>
      </c>
      <c r="AR59" s="14">
        <f t="shared" si="38"/>
        <v>192391</v>
      </c>
      <c r="AS59" s="14">
        <f t="shared" si="39"/>
        <v>24357</v>
      </c>
      <c r="AT59" s="14">
        <f t="shared" si="21"/>
        <v>80199</v>
      </c>
      <c r="AU59" s="14">
        <f t="shared" si="33"/>
        <v>245175</v>
      </c>
      <c r="AV59" s="14">
        <f t="shared" si="34"/>
        <v>298656</v>
      </c>
      <c r="AW59" s="14">
        <f t="shared" si="35"/>
        <v>17682</v>
      </c>
      <c r="AX59" s="14">
        <f t="shared" si="36"/>
        <v>5502991</v>
      </c>
      <c r="AY59" s="14">
        <v>5319135</v>
      </c>
      <c r="AZ59" s="14">
        <f t="shared" si="37"/>
        <v>183856</v>
      </c>
      <c r="BA59" s="2"/>
      <c r="BB59" s="14">
        <v>192391</v>
      </c>
      <c r="BC59" s="14">
        <v>24357</v>
      </c>
      <c r="BD59" s="2"/>
      <c r="BE59" s="64">
        <v>98</v>
      </c>
      <c r="BF59" s="64">
        <v>1.0780000000000001</v>
      </c>
    </row>
    <row r="60" spans="1:58" ht="15" x14ac:dyDescent="0.2">
      <c r="A60" s="20" t="s">
        <v>20</v>
      </c>
      <c r="B60" s="21" t="s">
        <v>102</v>
      </c>
      <c r="C60" s="45">
        <v>124</v>
      </c>
      <c r="D60" s="45">
        <v>0</v>
      </c>
      <c r="E60" s="45">
        <v>5</v>
      </c>
      <c r="F60" s="45">
        <v>0</v>
      </c>
      <c r="G60" s="45">
        <v>3</v>
      </c>
      <c r="H60" s="45">
        <v>0</v>
      </c>
      <c r="I60" s="45">
        <v>0</v>
      </c>
      <c r="J60" s="45"/>
      <c r="K60" s="45">
        <v>0</v>
      </c>
      <c r="L60" s="21"/>
      <c r="M60" s="45">
        <v>0</v>
      </c>
      <c r="N60" s="21">
        <v>0</v>
      </c>
      <c r="O60" s="45"/>
      <c r="P60" s="45"/>
      <c r="Q60" s="45">
        <v>0</v>
      </c>
      <c r="R60" s="45">
        <v>0</v>
      </c>
      <c r="S60" s="45">
        <v>0</v>
      </c>
      <c r="T60" s="45">
        <v>0</v>
      </c>
      <c r="U60" s="45">
        <f t="shared" si="16"/>
        <v>132</v>
      </c>
      <c r="V60" s="45">
        <v>0</v>
      </c>
      <c r="W60" s="45">
        <v>0</v>
      </c>
      <c r="X60" s="45">
        <v>0</v>
      </c>
      <c r="Y60" s="48">
        <f t="shared" si="22"/>
        <v>0</v>
      </c>
      <c r="Z60" s="45">
        <v>4493</v>
      </c>
      <c r="AA60" s="45">
        <f t="shared" si="23"/>
        <v>4694</v>
      </c>
      <c r="AB60" s="48">
        <v>1.96</v>
      </c>
      <c r="AC60" s="45">
        <f t="shared" si="24"/>
        <v>568228</v>
      </c>
      <c r="AD60" s="62">
        <f t="shared" si="25"/>
        <v>51436</v>
      </c>
      <c r="AE60" s="45">
        <f t="shared" si="26"/>
        <v>0</v>
      </c>
      <c r="AF60" s="45">
        <f t="shared" si="27"/>
        <v>0</v>
      </c>
      <c r="AG60" s="45"/>
      <c r="AH60" s="45"/>
      <c r="AI60" s="45"/>
      <c r="AJ60" s="14">
        <f t="shared" si="28"/>
        <v>619664</v>
      </c>
      <c r="AK60" s="21">
        <f t="shared" si="29"/>
        <v>1.1200000000000001</v>
      </c>
      <c r="AL60" s="45">
        <f t="shared" si="17"/>
        <v>0</v>
      </c>
      <c r="AM60" s="14">
        <f t="shared" si="30"/>
        <v>0</v>
      </c>
      <c r="AN60" s="14">
        <f t="shared" si="31"/>
        <v>0</v>
      </c>
      <c r="AO60" s="14">
        <f t="shared" si="32"/>
        <v>0</v>
      </c>
      <c r="AP60" s="14"/>
      <c r="AQ60" s="14">
        <f t="shared" si="18"/>
        <v>0</v>
      </c>
      <c r="AR60" s="14">
        <f t="shared" si="38"/>
        <v>20807</v>
      </c>
      <c r="AS60" s="14">
        <f t="shared" si="39"/>
        <v>2194</v>
      </c>
      <c r="AT60" s="14">
        <f t="shared" si="21"/>
        <v>7524</v>
      </c>
      <c r="AU60" s="14">
        <f t="shared" si="33"/>
        <v>23100</v>
      </c>
      <c r="AV60" s="14">
        <f t="shared" si="34"/>
        <v>20808</v>
      </c>
      <c r="AW60" s="14">
        <f t="shared" si="35"/>
        <v>2511</v>
      </c>
      <c r="AX60" s="14">
        <f t="shared" si="36"/>
        <v>696608</v>
      </c>
      <c r="AY60" s="14">
        <v>602791</v>
      </c>
      <c r="AZ60" s="14">
        <f t="shared" si="37"/>
        <v>93817</v>
      </c>
      <c r="BA60" s="2"/>
      <c r="BB60" s="14">
        <v>20807</v>
      </c>
      <c r="BC60" s="14">
        <v>2194</v>
      </c>
      <c r="BD60" s="2"/>
      <c r="BE60" s="64">
        <v>99</v>
      </c>
      <c r="BF60" s="64">
        <v>1.077</v>
      </c>
    </row>
    <row r="61" spans="1:58" ht="15" x14ac:dyDescent="0.2">
      <c r="A61" s="23" t="s">
        <v>20</v>
      </c>
      <c r="B61" s="21" t="s">
        <v>101</v>
      </c>
      <c r="C61" s="45">
        <v>7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/>
      <c r="K61" s="45">
        <v>0</v>
      </c>
      <c r="L61" s="21"/>
      <c r="M61" s="45">
        <v>0</v>
      </c>
      <c r="N61" s="21">
        <v>0</v>
      </c>
      <c r="O61" s="45"/>
      <c r="P61" s="45"/>
      <c r="Q61" s="45">
        <v>0</v>
      </c>
      <c r="R61" s="45">
        <v>0</v>
      </c>
      <c r="S61" s="45">
        <v>0</v>
      </c>
      <c r="T61" s="45">
        <v>0</v>
      </c>
      <c r="U61" s="45">
        <f t="shared" si="16"/>
        <v>7</v>
      </c>
      <c r="V61" s="45">
        <v>0</v>
      </c>
      <c r="W61" s="45">
        <v>0</v>
      </c>
      <c r="X61" s="45">
        <v>0</v>
      </c>
      <c r="Y61" s="48">
        <f t="shared" si="22"/>
        <v>0</v>
      </c>
      <c r="Z61" s="45">
        <v>16076</v>
      </c>
      <c r="AA61" s="45">
        <f t="shared" si="23"/>
        <v>22041</v>
      </c>
      <c r="AB61" s="48">
        <v>2.04</v>
      </c>
      <c r="AC61" s="45">
        <f t="shared" si="24"/>
        <v>33387</v>
      </c>
      <c r="AD61" s="62">
        <f t="shared" si="25"/>
        <v>0</v>
      </c>
      <c r="AE61" s="45">
        <f t="shared" si="26"/>
        <v>0</v>
      </c>
      <c r="AF61" s="45">
        <f t="shared" si="27"/>
        <v>0</v>
      </c>
      <c r="AG61" s="65">
        <f>ROUND(MAX(SUM(AC61:AF61),C$95*4.4)-SUM(AC61:AF61),0)</f>
        <v>120903</v>
      </c>
      <c r="AH61" s="45"/>
      <c r="AI61" s="45"/>
      <c r="AJ61" s="14">
        <f t="shared" si="28"/>
        <v>154290</v>
      </c>
      <c r="AK61" s="21">
        <f t="shared" si="29"/>
        <v>1.1200000000000001</v>
      </c>
      <c r="AL61" s="45">
        <f t="shared" si="17"/>
        <v>0</v>
      </c>
      <c r="AM61" s="14">
        <f t="shared" si="30"/>
        <v>0</v>
      </c>
      <c r="AN61" s="14">
        <f t="shared" si="31"/>
        <v>0</v>
      </c>
      <c r="AO61" s="14">
        <f t="shared" si="32"/>
        <v>0</v>
      </c>
      <c r="AP61" s="14"/>
      <c r="AQ61" s="14">
        <f t="shared" si="18"/>
        <v>0</v>
      </c>
      <c r="AR61" s="14">
        <f t="shared" si="38"/>
        <v>6209</v>
      </c>
      <c r="AS61" s="14">
        <f t="shared" si="39"/>
        <v>414</v>
      </c>
      <c r="AT61" s="14">
        <f t="shared" si="21"/>
        <v>399</v>
      </c>
      <c r="AU61" s="14">
        <f t="shared" si="33"/>
        <v>1225</v>
      </c>
      <c r="AV61" s="14">
        <f t="shared" si="34"/>
        <v>0</v>
      </c>
      <c r="AW61" s="14">
        <f t="shared" si="35"/>
        <v>139</v>
      </c>
      <c r="AX61" s="14">
        <f t="shared" si="36"/>
        <v>162676</v>
      </c>
      <c r="AY61" s="14">
        <v>153397</v>
      </c>
      <c r="AZ61" s="14">
        <f t="shared" si="37"/>
        <v>9279</v>
      </c>
      <c r="BA61" s="2"/>
      <c r="BB61" s="14">
        <v>6209</v>
      </c>
      <c r="BC61" s="14">
        <v>414</v>
      </c>
      <c r="BD61" s="2"/>
      <c r="BE61" s="64">
        <v>100</v>
      </c>
      <c r="BF61" s="64">
        <v>1.077</v>
      </c>
    </row>
    <row r="62" spans="1:58" ht="15" x14ac:dyDescent="0.2">
      <c r="A62" s="23" t="s">
        <v>20</v>
      </c>
      <c r="B62" s="21" t="s">
        <v>223</v>
      </c>
      <c r="C62" s="45">
        <v>2568</v>
      </c>
      <c r="D62" s="45">
        <v>37</v>
      </c>
      <c r="E62" s="45">
        <v>168</v>
      </c>
      <c r="F62" s="45">
        <v>0</v>
      </c>
      <c r="G62" s="45">
        <v>129</v>
      </c>
      <c r="H62" s="45">
        <v>1</v>
      </c>
      <c r="I62" s="45">
        <v>0</v>
      </c>
      <c r="J62" s="45"/>
      <c r="K62" s="45">
        <v>2</v>
      </c>
      <c r="L62" s="21"/>
      <c r="M62" s="45">
        <v>20</v>
      </c>
      <c r="N62" s="21">
        <v>0</v>
      </c>
      <c r="O62" s="45"/>
      <c r="P62" s="45"/>
      <c r="Q62" s="45">
        <v>242</v>
      </c>
      <c r="R62" s="45">
        <v>0</v>
      </c>
      <c r="S62" s="45">
        <v>0</v>
      </c>
      <c r="T62" s="45">
        <v>0</v>
      </c>
      <c r="U62" s="45">
        <f t="shared" si="16"/>
        <v>3167</v>
      </c>
      <c r="V62" s="45">
        <v>4</v>
      </c>
      <c r="W62" s="45">
        <v>0</v>
      </c>
      <c r="X62" s="45">
        <v>1</v>
      </c>
      <c r="Y62" s="48">
        <f t="shared" si="22"/>
        <v>0</v>
      </c>
      <c r="Z62" s="45">
        <v>3022</v>
      </c>
      <c r="AA62" s="45">
        <f t="shared" si="23"/>
        <v>3237</v>
      </c>
      <c r="AB62" s="48">
        <v>1.2689999999999999</v>
      </c>
      <c r="AC62" s="45">
        <f t="shared" si="24"/>
        <v>7619056</v>
      </c>
      <c r="AD62" s="62">
        <f t="shared" si="25"/>
        <v>2001328</v>
      </c>
      <c r="AE62" s="45">
        <f t="shared" si="26"/>
        <v>2478</v>
      </c>
      <c r="AF62" s="45">
        <f t="shared" si="27"/>
        <v>46760</v>
      </c>
      <c r="AG62" s="45"/>
      <c r="AH62" s="45"/>
      <c r="AI62" s="45"/>
      <c r="AJ62" s="14">
        <f t="shared" si="28"/>
        <v>9669622</v>
      </c>
      <c r="AK62" s="21">
        <f t="shared" si="29"/>
        <v>1.1200000000000001</v>
      </c>
      <c r="AL62" s="45">
        <f t="shared" si="17"/>
        <v>96887</v>
      </c>
      <c r="AM62" s="14">
        <f t="shared" si="30"/>
        <v>0</v>
      </c>
      <c r="AN62" s="14">
        <f t="shared" si="31"/>
        <v>486585</v>
      </c>
      <c r="AO62" s="14">
        <f t="shared" si="32"/>
        <v>0</v>
      </c>
      <c r="AP62" s="14"/>
      <c r="AQ62" s="14">
        <f t="shared" si="18"/>
        <v>583472</v>
      </c>
      <c r="AR62" s="14">
        <f t="shared" si="38"/>
        <v>373829</v>
      </c>
      <c r="AS62" s="14">
        <f t="shared" si="39"/>
        <v>46626</v>
      </c>
      <c r="AT62" s="14">
        <f t="shared" si="21"/>
        <v>180519</v>
      </c>
      <c r="AU62" s="14">
        <f t="shared" si="33"/>
        <v>507850</v>
      </c>
      <c r="AV62" s="14">
        <f t="shared" si="34"/>
        <v>850435</v>
      </c>
      <c r="AW62" s="14">
        <f t="shared" si="35"/>
        <v>35318</v>
      </c>
      <c r="AX62" s="14">
        <f t="shared" si="36"/>
        <v>12247671</v>
      </c>
      <c r="AY62" s="14">
        <v>11589736</v>
      </c>
      <c r="AZ62" s="14">
        <f t="shared" si="37"/>
        <v>657935</v>
      </c>
      <c r="BA62" s="2"/>
      <c r="BB62" s="14">
        <v>373829</v>
      </c>
      <c r="BC62" s="14">
        <v>46626</v>
      </c>
      <c r="BD62" s="2"/>
      <c r="BE62" s="64">
        <v>101</v>
      </c>
      <c r="BF62" s="64">
        <v>1.0760000000000001</v>
      </c>
    </row>
    <row r="63" spans="1:58" ht="15" x14ac:dyDescent="0.2">
      <c r="A63" s="20" t="s">
        <v>13</v>
      </c>
      <c r="B63" s="21" t="s">
        <v>224</v>
      </c>
      <c r="C63" s="45">
        <v>1385</v>
      </c>
      <c r="D63" s="45">
        <v>159</v>
      </c>
      <c r="E63" s="45">
        <v>99</v>
      </c>
      <c r="F63" s="45">
        <v>0</v>
      </c>
      <c r="G63" s="45">
        <v>46</v>
      </c>
      <c r="H63" s="45">
        <v>0</v>
      </c>
      <c r="I63" s="45">
        <v>0</v>
      </c>
      <c r="J63" s="45"/>
      <c r="K63" s="45">
        <v>0</v>
      </c>
      <c r="L63" s="21"/>
      <c r="M63" s="45">
        <v>0</v>
      </c>
      <c r="N63" s="21">
        <v>0</v>
      </c>
      <c r="O63" s="45"/>
      <c r="P63" s="45"/>
      <c r="Q63" s="45">
        <v>47</v>
      </c>
      <c r="R63" s="45">
        <v>0</v>
      </c>
      <c r="S63" s="45">
        <v>1</v>
      </c>
      <c r="T63" s="45">
        <v>0</v>
      </c>
      <c r="U63" s="45">
        <f t="shared" si="16"/>
        <v>1737</v>
      </c>
      <c r="V63" s="45">
        <v>0</v>
      </c>
      <c r="W63" s="45">
        <v>0</v>
      </c>
      <c r="X63" s="45">
        <v>0</v>
      </c>
      <c r="Y63" s="48">
        <f t="shared" si="22"/>
        <v>4.8000000000000043E-2</v>
      </c>
      <c r="Z63" s="45">
        <v>2933</v>
      </c>
      <c r="AA63" s="45">
        <f t="shared" si="23"/>
        <v>3186</v>
      </c>
      <c r="AB63" s="48">
        <v>1.27</v>
      </c>
      <c r="AC63" s="45">
        <f t="shared" si="24"/>
        <v>4112425</v>
      </c>
      <c r="AD63" s="62">
        <f t="shared" si="25"/>
        <v>893116</v>
      </c>
      <c r="AE63" s="45">
        <f t="shared" si="26"/>
        <v>0</v>
      </c>
      <c r="AF63" s="45">
        <f t="shared" si="27"/>
        <v>0</v>
      </c>
      <c r="AG63" s="45"/>
      <c r="AH63" s="45"/>
      <c r="AI63" s="45"/>
      <c r="AJ63" s="14">
        <f t="shared" si="28"/>
        <v>5005541</v>
      </c>
      <c r="AK63" s="21">
        <f t="shared" si="29"/>
        <v>1.1200000000000001</v>
      </c>
      <c r="AL63" s="45">
        <f t="shared" si="17"/>
        <v>416351</v>
      </c>
      <c r="AM63" s="14">
        <f t="shared" si="30"/>
        <v>0</v>
      </c>
      <c r="AN63" s="14">
        <f t="shared" si="31"/>
        <v>94502</v>
      </c>
      <c r="AO63" s="14">
        <f t="shared" si="32"/>
        <v>17844</v>
      </c>
      <c r="AP63" s="14"/>
      <c r="AQ63" s="14">
        <f t="shared" si="18"/>
        <v>528697</v>
      </c>
      <c r="AR63" s="14">
        <f t="shared" si="38"/>
        <v>175607</v>
      </c>
      <c r="AS63" s="14">
        <f t="shared" si="39"/>
        <v>21705</v>
      </c>
      <c r="AT63" s="14">
        <f t="shared" si="21"/>
        <v>98963</v>
      </c>
      <c r="AU63" s="14">
        <f t="shared" si="33"/>
        <v>295575</v>
      </c>
      <c r="AV63" s="14">
        <f t="shared" si="34"/>
        <v>346392</v>
      </c>
      <c r="AW63" s="14">
        <f t="shared" si="35"/>
        <v>18856</v>
      </c>
      <c r="AX63" s="14">
        <f t="shared" si="36"/>
        <v>6491336</v>
      </c>
      <c r="AY63" s="14">
        <v>5996168</v>
      </c>
      <c r="AZ63" s="14">
        <f t="shared" si="37"/>
        <v>495168</v>
      </c>
      <c r="BA63" s="2"/>
      <c r="BB63" s="14">
        <v>175607</v>
      </c>
      <c r="BC63" s="14">
        <v>21705</v>
      </c>
      <c r="BD63" s="2"/>
      <c r="BE63" s="64">
        <v>102</v>
      </c>
      <c r="BF63" s="64">
        <v>1.0760000000000001</v>
      </c>
    </row>
    <row r="64" spans="1:58" ht="15" x14ac:dyDescent="0.2">
      <c r="A64" s="20" t="s">
        <v>13</v>
      </c>
      <c r="B64" s="21" t="s">
        <v>100</v>
      </c>
      <c r="C64" s="45">
        <v>1366</v>
      </c>
      <c r="D64" s="45">
        <v>185</v>
      </c>
      <c r="E64" s="45">
        <v>42</v>
      </c>
      <c r="F64" s="45">
        <v>0</v>
      </c>
      <c r="G64" s="45">
        <v>14</v>
      </c>
      <c r="H64" s="45">
        <v>0</v>
      </c>
      <c r="I64" s="45">
        <v>0</v>
      </c>
      <c r="J64" s="45"/>
      <c r="K64" s="45">
        <v>1</v>
      </c>
      <c r="L64" s="21"/>
      <c r="M64" s="45">
        <v>0</v>
      </c>
      <c r="N64" s="21">
        <v>0</v>
      </c>
      <c r="O64" s="45"/>
      <c r="P64" s="45"/>
      <c r="Q64" s="45">
        <v>0</v>
      </c>
      <c r="R64" s="45">
        <v>0</v>
      </c>
      <c r="S64" s="45">
        <v>0</v>
      </c>
      <c r="T64" s="45">
        <v>0</v>
      </c>
      <c r="U64" s="45">
        <f t="shared" si="16"/>
        <v>1608</v>
      </c>
      <c r="V64" s="45">
        <v>0</v>
      </c>
      <c r="W64" s="45">
        <v>0</v>
      </c>
      <c r="X64" s="45">
        <v>0</v>
      </c>
      <c r="Y64" s="48">
        <f t="shared" si="22"/>
        <v>3.6000000000000032E-2</v>
      </c>
      <c r="Z64" s="45">
        <v>2605</v>
      </c>
      <c r="AA64" s="45">
        <f t="shared" si="23"/>
        <v>2831</v>
      </c>
      <c r="AB64" s="48">
        <v>1.1659999999999999</v>
      </c>
      <c r="AC64" s="45">
        <f t="shared" si="24"/>
        <v>3723864</v>
      </c>
      <c r="AD64" s="62">
        <f t="shared" si="25"/>
        <v>327320</v>
      </c>
      <c r="AE64" s="45">
        <f t="shared" si="26"/>
        <v>1239</v>
      </c>
      <c r="AF64" s="45">
        <f t="shared" si="27"/>
        <v>0</v>
      </c>
      <c r="AG64" s="45"/>
      <c r="AH64" s="45"/>
      <c r="AI64" s="45"/>
      <c r="AJ64" s="14">
        <f t="shared" si="28"/>
        <v>4052423</v>
      </c>
      <c r="AK64" s="21">
        <f t="shared" si="29"/>
        <v>1.1200000000000001</v>
      </c>
      <c r="AL64" s="45">
        <f t="shared" si="17"/>
        <v>484434</v>
      </c>
      <c r="AM64" s="14">
        <f t="shared" si="30"/>
        <v>0</v>
      </c>
      <c r="AN64" s="14">
        <f t="shared" si="31"/>
        <v>0</v>
      </c>
      <c r="AO64" s="14">
        <f t="shared" si="32"/>
        <v>15571</v>
      </c>
      <c r="AP64" s="14"/>
      <c r="AQ64" s="14">
        <f t="shared" si="18"/>
        <v>500005</v>
      </c>
      <c r="AR64" s="14">
        <f t="shared" si="38"/>
        <v>147936</v>
      </c>
      <c r="AS64" s="14">
        <f t="shared" si="39"/>
        <v>19296</v>
      </c>
      <c r="AT64" s="14">
        <f t="shared" si="21"/>
        <v>91656</v>
      </c>
      <c r="AU64" s="14">
        <f t="shared" si="33"/>
        <v>281225</v>
      </c>
      <c r="AV64" s="14">
        <f t="shared" si="34"/>
        <v>119952</v>
      </c>
      <c r="AW64" s="14">
        <f t="shared" si="35"/>
        <v>16101</v>
      </c>
      <c r="AX64" s="14">
        <f t="shared" si="36"/>
        <v>5228594</v>
      </c>
      <c r="AY64" s="14">
        <v>4663762</v>
      </c>
      <c r="AZ64" s="14">
        <f t="shared" si="37"/>
        <v>564832</v>
      </c>
      <c r="BA64" s="2"/>
      <c r="BB64" s="14">
        <v>96388</v>
      </c>
      <c r="BC64" s="14">
        <v>12230</v>
      </c>
      <c r="BD64" s="2"/>
      <c r="BE64" s="64">
        <v>103</v>
      </c>
      <c r="BF64" s="64">
        <v>1.075</v>
      </c>
    </row>
    <row r="65" spans="1:58" ht="15" x14ac:dyDescent="0.2">
      <c r="A65" s="20" t="s">
        <v>13</v>
      </c>
      <c r="B65" s="21" t="s">
        <v>225</v>
      </c>
      <c r="C65" s="45">
        <v>457</v>
      </c>
      <c r="D65" s="45">
        <v>34</v>
      </c>
      <c r="E65" s="45">
        <v>28</v>
      </c>
      <c r="F65" s="45">
        <v>1</v>
      </c>
      <c r="G65" s="45">
        <v>6</v>
      </c>
      <c r="H65" s="45">
        <v>0</v>
      </c>
      <c r="I65" s="45">
        <v>0</v>
      </c>
      <c r="J65" s="45"/>
      <c r="K65" s="45">
        <v>0</v>
      </c>
      <c r="L65" s="21"/>
      <c r="M65" s="45">
        <v>0</v>
      </c>
      <c r="N65" s="21">
        <v>0</v>
      </c>
      <c r="O65" s="45"/>
      <c r="P65" s="45"/>
      <c r="Q65" s="45">
        <v>0</v>
      </c>
      <c r="R65" s="45">
        <v>0</v>
      </c>
      <c r="S65" s="45">
        <v>0</v>
      </c>
      <c r="T65" s="45">
        <v>0</v>
      </c>
      <c r="U65" s="45">
        <f t="shared" si="16"/>
        <v>526</v>
      </c>
      <c r="V65" s="45">
        <v>0</v>
      </c>
      <c r="W65" s="45">
        <v>0</v>
      </c>
      <c r="X65" s="45">
        <v>0</v>
      </c>
      <c r="Y65" s="48">
        <f t="shared" si="22"/>
        <v>0</v>
      </c>
      <c r="Z65" s="45">
        <v>3947</v>
      </c>
      <c r="AA65" s="45">
        <f t="shared" si="23"/>
        <v>4258</v>
      </c>
      <c r="AB65" s="48">
        <v>1.8320000000000001</v>
      </c>
      <c r="AC65" s="45">
        <f t="shared" si="24"/>
        <v>1957430</v>
      </c>
      <c r="AD65" s="62">
        <f t="shared" si="25"/>
        <v>187040</v>
      </c>
      <c r="AE65" s="45">
        <f t="shared" si="26"/>
        <v>0</v>
      </c>
      <c r="AF65" s="45">
        <f t="shared" si="27"/>
        <v>0</v>
      </c>
      <c r="AG65" s="45"/>
      <c r="AH65" s="45"/>
      <c r="AI65" s="45"/>
      <c r="AJ65" s="14">
        <f t="shared" si="28"/>
        <v>2144470</v>
      </c>
      <c r="AK65" s="21">
        <f t="shared" si="29"/>
        <v>1.1200000000000001</v>
      </c>
      <c r="AL65" s="45">
        <f t="shared" si="17"/>
        <v>89031</v>
      </c>
      <c r="AM65" s="14">
        <f t="shared" si="30"/>
        <v>6313</v>
      </c>
      <c r="AN65" s="14">
        <f t="shared" si="31"/>
        <v>0</v>
      </c>
      <c r="AO65" s="14">
        <f t="shared" si="32"/>
        <v>0</v>
      </c>
      <c r="AP65" s="14"/>
      <c r="AQ65" s="14">
        <f t="shared" si="18"/>
        <v>95344</v>
      </c>
      <c r="AR65" s="14">
        <f t="shared" si="38"/>
        <v>48392</v>
      </c>
      <c r="AS65" s="14">
        <f t="shared" si="39"/>
        <v>6312</v>
      </c>
      <c r="AT65" s="14">
        <f t="shared" si="21"/>
        <v>29982</v>
      </c>
      <c r="AU65" s="14">
        <f t="shared" si="33"/>
        <v>92050</v>
      </c>
      <c r="AV65" s="14">
        <f t="shared" si="34"/>
        <v>65729</v>
      </c>
      <c r="AW65" s="14">
        <f t="shared" si="35"/>
        <v>8729</v>
      </c>
      <c r="AX65" s="14">
        <f t="shared" si="36"/>
        <v>2491008</v>
      </c>
      <c r="AY65" s="14">
        <v>2155955</v>
      </c>
      <c r="AZ65" s="14">
        <f t="shared" si="37"/>
        <v>335053</v>
      </c>
      <c r="BA65" s="2"/>
      <c r="BB65" s="14">
        <v>45469</v>
      </c>
      <c r="BC65" s="14">
        <v>5831</v>
      </c>
      <c r="BD65" s="2"/>
      <c r="BE65" s="64">
        <v>104</v>
      </c>
      <c r="BF65" s="64">
        <v>1.075</v>
      </c>
    </row>
    <row r="66" spans="1:58" ht="15" x14ac:dyDescent="0.2">
      <c r="A66" s="20" t="s">
        <v>13</v>
      </c>
      <c r="B66" s="21" t="s">
        <v>99</v>
      </c>
      <c r="C66" s="45">
        <v>375</v>
      </c>
      <c r="D66" s="45">
        <v>75</v>
      </c>
      <c r="E66" s="45">
        <v>17</v>
      </c>
      <c r="F66" s="45">
        <v>0</v>
      </c>
      <c r="G66" s="45">
        <v>8</v>
      </c>
      <c r="H66" s="45">
        <v>0</v>
      </c>
      <c r="I66" s="45">
        <v>0</v>
      </c>
      <c r="J66" s="45"/>
      <c r="K66" s="45">
        <v>0</v>
      </c>
      <c r="L66" s="21"/>
      <c r="M66" s="45">
        <v>0</v>
      </c>
      <c r="N66" s="21">
        <v>0</v>
      </c>
      <c r="O66" s="45"/>
      <c r="P66" s="45"/>
      <c r="Q66" s="45">
        <v>0</v>
      </c>
      <c r="R66" s="45">
        <v>0</v>
      </c>
      <c r="S66" s="45">
        <v>0</v>
      </c>
      <c r="T66" s="45">
        <v>0</v>
      </c>
      <c r="U66" s="45">
        <f t="shared" si="16"/>
        <v>475</v>
      </c>
      <c r="V66" s="45">
        <v>0</v>
      </c>
      <c r="W66" s="45">
        <v>0</v>
      </c>
      <c r="X66" s="45">
        <v>0</v>
      </c>
      <c r="Y66" s="48">
        <f t="shared" si="22"/>
        <v>8.8999999999999968E-2</v>
      </c>
      <c r="Z66" s="45">
        <v>3167</v>
      </c>
      <c r="AA66" s="45">
        <f t="shared" si="23"/>
        <v>3411</v>
      </c>
      <c r="AB66" s="48">
        <v>1.43</v>
      </c>
      <c r="AC66" s="45">
        <f t="shared" si="24"/>
        <v>1253753</v>
      </c>
      <c r="AD66" s="62">
        <f t="shared" si="25"/>
        <v>154308</v>
      </c>
      <c r="AE66" s="45">
        <f t="shared" si="26"/>
        <v>0</v>
      </c>
      <c r="AF66" s="45">
        <f t="shared" si="27"/>
        <v>0</v>
      </c>
      <c r="AG66" s="45"/>
      <c r="AH66" s="45"/>
      <c r="AI66" s="45"/>
      <c r="AJ66" s="14">
        <f t="shared" si="28"/>
        <v>1408061</v>
      </c>
      <c r="AK66" s="21">
        <f t="shared" si="29"/>
        <v>1.1200000000000001</v>
      </c>
      <c r="AL66" s="45">
        <f t="shared" si="17"/>
        <v>196392</v>
      </c>
      <c r="AM66" s="14">
        <f t="shared" si="30"/>
        <v>0</v>
      </c>
      <c r="AN66" s="14">
        <f t="shared" si="31"/>
        <v>0</v>
      </c>
      <c r="AO66" s="14">
        <f t="shared" si="32"/>
        <v>15606</v>
      </c>
      <c r="AP66" s="14"/>
      <c r="AQ66" s="14">
        <f t="shared" si="18"/>
        <v>211998</v>
      </c>
      <c r="AR66" s="14">
        <f t="shared" si="38"/>
        <v>43700</v>
      </c>
      <c r="AS66" s="14">
        <f t="shared" si="39"/>
        <v>5700</v>
      </c>
      <c r="AT66" s="14">
        <f t="shared" si="21"/>
        <v>27075</v>
      </c>
      <c r="AU66" s="14">
        <f t="shared" si="33"/>
        <v>83125</v>
      </c>
      <c r="AV66" s="14">
        <f t="shared" si="34"/>
        <v>59976</v>
      </c>
      <c r="AW66" s="14">
        <f t="shared" si="35"/>
        <v>5551</v>
      </c>
      <c r="AX66" s="14">
        <f t="shared" si="36"/>
        <v>1845186</v>
      </c>
      <c r="AY66" s="14">
        <v>1801097</v>
      </c>
      <c r="AZ66" s="14">
        <f t="shared" si="37"/>
        <v>44089</v>
      </c>
      <c r="BA66" s="2"/>
      <c r="BB66" s="14">
        <v>34463</v>
      </c>
      <c r="BC66" s="14">
        <v>3969</v>
      </c>
      <c r="BD66" s="2"/>
      <c r="BE66" s="64">
        <v>105</v>
      </c>
      <c r="BF66" s="64">
        <v>1.0740000000000001</v>
      </c>
    </row>
    <row r="67" spans="1:58" ht="15" x14ac:dyDescent="0.2">
      <c r="A67" s="20" t="s">
        <v>13</v>
      </c>
      <c r="B67" s="21" t="s">
        <v>98</v>
      </c>
      <c r="C67" s="45">
        <v>472</v>
      </c>
      <c r="D67" s="45">
        <v>0</v>
      </c>
      <c r="E67" s="45">
        <v>24</v>
      </c>
      <c r="F67" s="45">
        <v>0</v>
      </c>
      <c r="G67" s="45">
        <v>12</v>
      </c>
      <c r="H67" s="45">
        <v>0</v>
      </c>
      <c r="I67" s="45">
        <v>0</v>
      </c>
      <c r="J67" s="45"/>
      <c r="K67" s="45">
        <v>0</v>
      </c>
      <c r="L67" s="21"/>
      <c r="M67" s="45">
        <v>0</v>
      </c>
      <c r="N67" s="21">
        <v>0</v>
      </c>
      <c r="O67" s="45"/>
      <c r="P67" s="45"/>
      <c r="Q67" s="45">
        <v>0</v>
      </c>
      <c r="R67" s="45">
        <v>0</v>
      </c>
      <c r="S67" s="45">
        <v>0</v>
      </c>
      <c r="T67" s="45">
        <v>0</v>
      </c>
      <c r="U67" s="45">
        <f t="shared" si="16"/>
        <v>508</v>
      </c>
      <c r="V67" s="45">
        <v>0</v>
      </c>
      <c r="W67" s="45">
        <v>0</v>
      </c>
      <c r="X67" s="45">
        <v>0</v>
      </c>
      <c r="Y67" s="48">
        <f t="shared" si="22"/>
        <v>0</v>
      </c>
      <c r="Z67" s="45">
        <v>2592</v>
      </c>
      <c r="AA67" s="45">
        <f t="shared" si="23"/>
        <v>2875</v>
      </c>
      <c r="AB67" s="48">
        <v>1.1200000000000001</v>
      </c>
      <c r="AC67" s="45">
        <f t="shared" si="24"/>
        <v>1235960</v>
      </c>
      <c r="AD67" s="62">
        <f t="shared" si="25"/>
        <v>224448</v>
      </c>
      <c r="AE67" s="45">
        <f t="shared" si="26"/>
        <v>0</v>
      </c>
      <c r="AF67" s="45">
        <f t="shared" si="27"/>
        <v>0</v>
      </c>
      <c r="AG67" s="45"/>
      <c r="AH67" s="45"/>
      <c r="AI67" s="45"/>
      <c r="AJ67" s="14">
        <f t="shared" si="28"/>
        <v>1460408</v>
      </c>
      <c r="AK67" s="21">
        <f t="shared" si="29"/>
        <v>1.1200000000000001</v>
      </c>
      <c r="AL67" s="45">
        <f t="shared" si="17"/>
        <v>0</v>
      </c>
      <c r="AM67" s="14">
        <f t="shared" si="30"/>
        <v>0</v>
      </c>
      <c r="AN67" s="14">
        <f t="shared" si="31"/>
        <v>0</v>
      </c>
      <c r="AO67" s="14">
        <f t="shared" si="32"/>
        <v>0</v>
      </c>
      <c r="AP67" s="14"/>
      <c r="AQ67" s="14">
        <f t="shared" si="18"/>
        <v>0</v>
      </c>
      <c r="AR67" s="14">
        <f t="shared" si="38"/>
        <v>46736</v>
      </c>
      <c r="AS67" s="14">
        <f t="shared" si="39"/>
        <v>6096</v>
      </c>
      <c r="AT67" s="14">
        <f t="shared" si="21"/>
        <v>28956</v>
      </c>
      <c r="AU67" s="14">
        <f t="shared" si="33"/>
        <v>88900</v>
      </c>
      <c r="AV67" s="14">
        <f t="shared" si="34"/>
        <v>88128</v>
      </c>
      <c r="AW67" s="14">
        <f t="shared" si="35"/>
        <v>5521</v>
      </c>
      <c r="AX67" s="14">
        <f t="shared" si="36"/>
        <v>1724745</v>
      </c>
      <c r="AY67" s="14">
        <v>1467497</v>
      </c>
      <c r="AZ67" s="14">
        <f t="shared" si="37"/>
        <v>257248</v>
      </c>
      <c r="BA67" s="2"/>
      <c r="BB67" s="14">
        <v>41351</v>
      </c>
      <c r="BC67" s="14">
        <v>4961</v>
      </c>
      <c r="BD67" s="2"/>
      <c r="BE67" s="64">
        <v>106</v>
      </c>
      <c r="BF67" s="64">
        <v>1.0740000000000001</v>
      </c>
    </row>
    <row r="68" spans="1:58" ht="15" x14ac:dyDescent="0.2">
      <c r="A68" s="20" t="s">
        <v>13</v>
      </c>
      <c r="B68" s="21" t="s">
        <v>97</v>
      </c>
      <c r="C68" s="45">
        <v>357</v>
      </c>
      <c r="D68" s="45">
        <v>0</v>
      </c>
      <c r="E68" s="45">
        <v>19</v>
      </c>
      <c r="F68" s="45">
        <v>0</v>
      </c>
      <c r="G68" s="45">
        <v>10</v>
      </c>
      <c r="H68" s="45">
        <v>0</v>
      </c>
      <c r="I68" s="45">
        <v>0</v>
      </c>
      <c r="J68" s="45"/>
      <c r="K68" s="45">
        <v>0</v>
      </c>
      <c r="L68" s="21"/>
      <c r="M68" s="45">
        <v>0</v>
      </c>
      <c r="N68" s="21">
        <v>0</v>
      </c>
      <c r="O68" s="45"/>
      <c r="P68" s="45"/>
      <c r="Q68" s="45">
        <v>0</v>
      </c>
      <c r="R68" s="45">
        <v>0</v>
      </c>
      <c r="S68" s="45">
        <v>0</v>
      </c>
      <c r="T68" s="45">
        <v>0</v>
      </c>
      <c r="U68" s="45">
        <f t="shared" si="16"/>
        <v>386</v>
      </c>
      <c r="V68" s="45">
        <v>0</v>
      </c>
      <c r="W68" s="45">
        <v>0</v>
      </c>
      <c r="X68" s="45">
        <v>0</v>
      </c>
      <c r="Y68" s="48">
        <f t="shared" ref="Y68:Y82" si="40">IF(AND(D68&lt;251,D68&gt;=43),VLOOKUP(D68,BE$4:BF$211,2,FALSE)-1,0)</f>
        <v>0</v>
      </c>
      <c r="Z68" s="45">
        <v>3822</v>
      </c>
      <c r="AA68" s="45">
        <f t="shared" ref="AA68:AA82" si="41">ROUND((SUM(AC68:AG68)+AQ68)/U68,0)</f>
        <v>4101</v>
      </c>
      <c r="AB68" s="48">
        <v>1.6779999999999999</v>
      </c>
      <c r="AC68" s="45">
        <f t="shared" ref="AC68:AC82" si="42">ROUND(C68*AB68*C$88,0)</f>
        <v>1400570</v>
      </c>
      <c r="AD68" s="62">
        <f t="shared" ref="AD68:AD82" si="43">ROUND((E68*E$84+G68*G$84+H68*H$84)*C$88,0)</f>
        <v>182364</v>
      </c>
      <c r="AE68" s="45">
        <f t="shared" ref="AE68:AE82" si="44">ROUND(K68*K$84*C$88,0)</f>
        <v>0</v>
      </c>
      <c r="AF68" s="45">
        <f t="shared" ref="AF68:AF82" si="45">ROUND((M68*M$84+N68*N$84+P68*P$84)*C$88,0)</f>
        <v>0</v>
      </c>
      <c r="AG68" s="45"/>
      <c r="AH68" s="45"/>
      <c r="AI68" s="45"/>
      <c r="AJ68" s="14">
        <f t="shared" ref="AJ68:AJ82" si="46">SUM(AC68:AI68)</f>
        <v>1582934</v>
      </c>
      <c r="AK68" s="21">
        <f t="shared" ref="AK68:AK82" si="47">IF(D68&lt;400,1.12,IF(D68&lt;=500,1.06,1))</f>
        <v>1.1200000000000001</v>
      </c>
      <c r="AL68" s="45">
        <f t="shared" si="17"/>
        <v>0</v>
      </c>
      <c r="AM68" s="14">
        <f t="shared" ref="AM68:AM82" si="48">ROUND((F68*F$84+I68*I$84+J68*J$84)*C$88,0)</f>
        <v>0</v>
      </c>
      <c r="AN68" s="14">
        <f t="shared" ref="AN68:AN82" si="49">ROUND((Q68*Q$84)*C$88,0)+ROUND((T68*T$84)*C$88,0)+ROUND((R68*R$84)*C$88,0)</f>
        <v>0</v>
      </c>
      <c r="AO68" s="14">
        <f t="shared" ref="AO68:AO82" si="50">ROUND(D68*Y68*C$88,0)</f>
        <v>0</v>
      </c>
      <c r="AP68" s="14"/>
      <c r="AQ68" s="14">
        <f t="shared" si="18"/>
        <v>0</v>
      </c>
      <c r="AR68" s="14">
        <f t="shared" si="38"/>
        <v>100120</v>
      </c>
      <c r="AS68" s="14">
        <f t="shared" si="39"/>
        <v>10304</v>
      </c>
      <c r="AT68" s="14">
        <f t="shared" si="21"/>
        <v>22002</v>
      </c>
      <c r="AU68" s="14">
        <f t="shared" ref="AU68:AU82" si="51">ROUND((C68+D68+E68+F68+G68+I68)*C$92,0)</f>
        <v>67550</v>
      </c>
      <c r="AV68" s="14">
        <f t="shared" ref="AV68:AV82" si="52">ROUND((E68*E$85+F68*F$85+G68*G$85+H68*H$85+I68*I$85+J68*J$85)*C$93,0)+ROUND((V68*V$85)*C$93,0)+ROUND((W68*W$85+X68*X$85)*C$93,0)</f>
        <v>72216</v>
      </c>
      <c r="AW68" s="14">
        <f t="shared" ref="AW68:AW82" si="53">ROUND((C68+E68+G68+H68+K68)*AB68*C$94,0)</f>
        <v>6285</v>
      </c>
      <c r="AX68" s="14">
        <f t="shared" ref="AX68:AX82" si="54">AJ68+AQ68+AR68+AS68+AT68+AU68+AV68+AW68</f>
        <v>1861411</v>
      </c>
      <c r="AY68" s="14">
        <v>1701424</v>
      </c>
      <c r="AZ68" s="14">
        <f t="shared" ref="AZ68:AZ82" si="55">AX68-AY68</f>
        <v>159987</v>
      </c>
      <c r="BA68" s="2"/>
      <c r="BB68" s="14">
        <v>100120</v>
      </c>
      <c r="BC68" s="14">
        <v>10304</v>
      </c>
      <c r="BD68" s="2"/>
      <c r="BE68" s="64">
        <v>107</v>
      </c>
      <c r="BF68" s="64">
        <v>1.073</v>
      </c>
    </row>
    <row r="69" spans="1:58" ht="15" x14ac:dyDescent="0.2">
      <c r="A69" s="20" t="s">
        <v>13</v>
      </c>
      <c r="B69" s="21" t="s">
        <v>96</v>
      </c>
      <c r="C69" s="45">
        <v>1228</v>
      </c>
      <c r="D69" s="45">
        <v>132</v>
      </c>
      <c r="E69" s="45">
        <v>76</v>
      </c>
      <c r="F69" s="45">
        <v>0</v>
      </c>
      <c r="G69" s="45">
        <v>12</v>
      </c>
      <c r="H69" s="45">
        <v>0</v>
      </c>
      <c r="I69" s="45">
        <v>0</v>
      </c>
      <c r="J69" s="45"/>
      <c r="K69" s="45">
        <v>0</v>
      </c>
      <c r="L69" s="21"/>
      <c r="M69" s="45">
        <v>0</v>
      </c>
      <c r="N69" s="21">
        <v>0</v>
      </c>
      <c r="O69" s="45"/>
      <c r="P69" s="45"/>
      <c r="Q69" s="45">
        <v>0</v>
      </c>
      <c r="R69" s="45">
        <v>0</v>
      </c>
      <c r="S69" s="45">
        <v>0</v>
      </c>
      <c r="T69" s="45">
        <v>0</v>
      </c>
      <c r="U69" s="45">
        <f t="shared" ref="U69:U82" si="56">SUM(C69:T69)-P69-T69</f>
        <v>1448</v>
      </c>
      <c r="V69" s="45">
        <v>0</v>
      </c>
      <c r="W69" s="45">
        <v>0</v>
      </c>
      <c r="X69" s="45">
        <v>0</v>
      </c>
      <c r="Y69" s="48">
        <f t="shared" si="40"/>
        <v>6.0999999999999943E-2</v>
      </c>
      <c r="Z69" s="45">
        <v>3029</v>
      </c>
      <c r="AA69" s="45">
        <f t="shared" si="41"/>
        <v>3265</v>
      </c>
      <c r="AB69" s="48">
        <v>1.357</v>
      </c>
      <c r="AC69" s="45">
        <f t="shared" si="42"/>
        <v>3896034</v>
      </c>
      <c r="AD69" s="62">
        <f t="shared" si="43"/>
        <v>467600</v>
      </c>
      <c r="AE69" s="45">
        <f t="shared" si="44"/>
        <v>0</v>
      </c>
      <c r="AF69" s="45">
        <f t="shared" si="45"/>
        <v>0</v>
      </c>
      <c r="AG69" s="45"/>
      <c r="AH69" s="45"/>
      <c r="AI69" s="45"/>
      <c r="AJ69" s="14">
        <f t="shared" si="46"/>
        <v>4363634</v>
      </c>
      <c r="AK69" s="21">
        <f t="shared" si="47"/>
        <v>1.1200000000000001</v>
      </c>
      <c r="AL69" s="45">
        <f t="shared" ref="AL69:AL82" si="57">ROUND((D69+L69)*AK69*C$88,0)</f>
        <v>345650</v>
      </c>
      <c r="AM69" s="14">
        <f t="shared" si="48"/>
        <v>0</v>
      </c>
      <c r="AN69" s="14">
        <f t="shared" si="49"/>
        <v>0</v>
      </c>
      <c r="AO69" s="14">
        <f t="shared" si="50"/>
        <v>18826</v>
      </c>
      <c r="AP69" s="14"/>
      <c r="AQ69" s="14">
        <f t="shared" ref="AQ69:AQ82" si="58">SUM(AL69:AP69)</f>
        <v>364476</v>
      </c>
      <c r="AR69" s="14">
        <f t="shared" ref="AR69:AR82" si="59">MAX(U69*C$89,BB69)</f>
        <v>133216</v>
      </c>
      <c r="AS69" s="14">
        <f t="shared" ref="AS69:AS82" si="60">MAX(U69*C$90,BC69)</f>
        <v>17376</v>
      </c>
      <c r="AT69" s="14">
        <f t="shared" ref="AT69:AT82" si="61">ROUND((SUM(C69:J69)+K69+L69+M69+SUM(N69:O69)/5+Q69+SUM(R69:S69)/5)*C$91,0)</f>
        <v>82536</v>
      </c>
      <c r="AU69" s="14">
        <f t="shared" si="51"/>
        <v>253400</v>
      </c>
      <c r="AV69" s="14">
        <f t="shared" si="52"/>
        <v>151776</v>
      </c>
      <c r="AW69" s="14">
        <f t="shared" si="53"/>
        <v>17330</v>
      </c>
      <c r="AX69" s="14">
        <f t="shared" si="54"/>
        <v>5383744</v>
      </c>
      <c r="AY69" s="14">
        <v>4799298</v>
      </c>
      <c r="AZ69" s="14">
        <f t="shared" si="55"/>
        <v>584446</v>
      </c>
      <c r="BA69" s="2"/>
      <c r="BB69" s="14">
        <v>123785</v>
      </c>
      <c r="BC69" s="14">
        <v>14453</v>
      </c>
      <c r="BD69" s="2"/>
      <c r="BE69" s="64">
        <v>108</v>
      </c>
      <c r="BF69" s="64">
        <v>1.073</v>
      </c>
    </row>
    <row r="70" spans="1:58" ht="15" x14ac:dyDescent="0.2">
      <c r="A70" s="20" t="s">
        <v>13</v>
      </c>
      <c r="B70" s="21" t="s">
        <v>15</v>
      </c>
      <c r="C70" s="45">
        <v>8928</v>
      </c>
      <c r="D70" s="45">
        <v>2459</v>
      </c>
      <c r="E70" s="45">
        <v>535</v>
      </c>
      <c r="F70" s="45">
        <v>19</v>
      </c>
      <c r="G70" s="45">
        <v>498</v>
      </c>
      <c r="H70" s="45">
        <v>7</v>
      </c>
      <c r="I70" s="45">
        <v>22</v>
      </c>
      <c r="J70" s="45"/>
      <c r="K70" s="45">
        <v>9</v>
      </c>
      <c r="L70" s="21"/>
      <c r="M70" s="45">
        <v>53</v>
      </c>
      <c r="N70" s="21">
        <v>0</v>
      </c>
      <c r="O70" s="45"/>
      <c r="P70" s="45"/>
      <c r="Q70" s="45">
        <v>586</v>
      </c>
      <c r="R70" s="45">
        <v>15</v>
      </c>
      <c r="S70" s="45">
        <v>2</v>
      </c>
      <c r="T70" s="45">
        <v>8</v>
      </c>
      <c r="U70" s="45">
        <f t="shared" si="56"/>
        <v>13133</v>
      </c>
      <c r="V70" s="45">
        <v>0</v>
      </c>
      <c r="W70" s="45">
        <v>3</v>
      </c>
      <c r="X70" s="45">
        <v>14</v>
      </c>
      <c r="Y70" s="48">
        <f t="shared" si="40"/>
        <v>0</v>
      </c>
      <c r="Z70" s="45">
        <v>2532</v>
      </c>
      <c r="AA70" s="45">
        <f t="shared" si="41"/>
        <v>2716</v>
      </c>
      <c r="AB70" s="48">
        <v>1.008</v>
      </c>
      <c r="AC70" s="45">
        <f t="shared" si="42"/>
        <v>21040653</v>
      </c>
      <c r="AD70" s="62">
        <f t="shared" si="43"/>
        <v>7224420</v>
      </c>
      <c r="AE70" s="45">
        <f t="shared" si="44"/>
        <v>11152</v>
      </c>
      <c r="AF70" s="45">
        <f t="shared" si="45"/>
        <v>123914</v>
      </c>
      <c r="AG70" s="45"/>
      <c r="AH70" s="45"/>
      <c r="AI70" s="45"/>
      <c r="AJ70" s="14">
        <f t="shared" si="46"/>
        <v>28400139</v>
      </c>
      <c r="AK70" s="21">
        <f t="shared" si="47"/>
        <v>1</v>
      </c>
      <c r="AL70" s="45">
        <f t="shared" si="57"/>
        <v>5749142</v>
      </c>
      <c r="AM70" s="14">
        <f t="shared" si="48"/>
        <v>325683</v>
      </c>
      <c r="AN70" s="14">
        <f t="shared" si="49"/>
        <v>1191140</v>
      </c>
      <c r="AO70" s="14">
        <f t="shared" si="50"/>
        <v>0</v>
      </c>
      <c r="AP70" s="14"/>
      <c r="AQ70" s="14">
        <f t="shared" si="58"/>
        <v>7265965</v>
      </c>
      <c r="AR70" s="14">
        <f t="shared" si="59"/>
        <v>1208236</v>
      </c>
      <c r="AS70" s="14">
        <f t="shared" si="60"/>
        <v>157596</v>
      </c>
      <c r="AT70" s="14">
        <f t="shared" si="61"/>
        <v>747806</v>
      </c>
      <c r="AU70" s="14">
        <f t="shared" si="51"/>
        <v>2180675</v>
      </c>
      <c r="AV70" s="14">
        <f t="shared" si="52"/>
        <v>3347885</v>
      </c>
      <c r="AW70" s="14">
        <f t="shared" si="53"/>
        <v>97593</v>
      </c>
      <c r="AX70" s="14">
        <f t="shared" si="54"/>
        <v>43405895</v>
      </c>
      <c r="AY70" s="14">
        <v>40713126</v>
      </c>
      <c r="AZ70" s="14">
        <f t="shared" si="55"/>
        <v>2692769</v>
      </c>
      <c r="BA70" s="2"/>
      <c r="BB70" s="14">
        <v>979789</v>
      </c>
      <c r="BC70" s="14">
        <v>153581</v>
      </c>
      <c r="BD70" s="2"/>
      <c r="BE70" s="64">
        <v>109</v>
      </c>
      <c r="BF70" s="64">
        <v>1.0720000000000001</v>
      </c>
    </row>
    <row r="71" spans="1:58" ht="15" x14ac:dyDescent="0.2">
      <c r="A71" s="20" t="s">
        <v>10</v>
      </c>
      <c r="B71" s="21" t="s">
        <v>95</v>
      </c>
      <c r="C71" s="45">
        <v>569</v>
      </c>
      <c r="D71" s="45">
        <v>75</v>
      </c>
      <c r="E71" s="45">
        <v>46</v>
      </c>
      <c r="F71" s="45">
        <v>0</v>
      </c>
      <c r="G71" s="45">
        <v>17</v>
      </c>
      <c r="H71" s="45">
        <v>0</v>
      </c>
      <c r="I71" s="45">
        <v>0</v>
      </c>
      <c r="J71" s="45"/>
      <c r="K71" s="45">
        <v>1</v>
      </c>
      <c r="L71" s="21"/>
      <c r="M71" s="45">
        <v>0</v>
      </c>
      <c r="N71" s="21">
        <v>0</v>
      </c>
      <c r="O71" s="45"/>
      <c r="P71" s="45"/>
      <c r="Q71" s="45">
        <v>0</v>
      </c>
      <c r="R71" s="45">
        <v>0</v>
      </c>
      <c r="S71" s="45">
        <v>1</v>
      </c>
      <c r="T71" s="45">
        <v>8</v>
      </c>
      <c r="U71" s="45">
        <f t="shared" si="56"/>
        <v>709</v>
      </c>
      <c r="V71" s="45">
        <v>0</v>
      </c>
      <c r="W71" s="45">
        <v>0</v>
      </c>
      <c r="X71" s="45">
        <v>0</v>
      </c>
      <c r="Y71" s="48">
        <f t="shared" si="40"/>
        <v>8.8999999999999968E-2</v>
      </c>
      <c r="Z71" s="45">
        <v>3423</v>
      </c>
      <c r="AA71" s="45">
        <f t="shared" si="41"/>
        <v>3695</v>
      </c>
      <c r="AB71" s="48">
        <v>1.5269999999999999</v>
      </c>
      <c r="AC71" s="45">
        <f t="shared" si="42"/>
        <v>2031402</v>
      </c>
      <c r="AD71" s="62">
        <f t="shared" si="43"/>
        <v>374080</v>
      </c>
      <c r="AE71" s="45">
        <f t="shared" si="44"/>
        <v>1239</v>
      </c>
      <c r="AF71" s="45">
        <f t="shared" si="45"/>
        <v>0</v>
      </c>
      <c r="AG71" s="45"/>
      <c r="AH71" s="45"/>
      <c r="AI71" s="45"/>
      <c r="AJ71" s="14">
        <f t="shared" si="46"/>
        <v>2406721</v>
      </c>
      <c r="AK71" s="21">
        <f t="shared" si="47"/>
        <v>1.1200000000000001</v>
      </c>
      <c r="AL71" s="45">
        <f t="shared" si="57"/>
        <v>196392</v>
      </c>
      <c r="AM71" s="14">
        <f t="shared" si="48"/>
        <v>0</v>
      </c>
      <c r="AN71" s="14">
        <f t="shared" si="49"/>
        <v>1309</v>
      </c>
      <c r="AO71" s="14">
        <f t="shared" si="50"/>
        <v>15606</v>
      </c>
      <c r="AP71" s="14"/>
      <c r="AQ71" s="14">
        <f t="shared" si="58"/>
        <v>213307</v>
      </c>
      <c r="AR71" s="14">
        <f t="shared" si="59"/>
        <v>99835</v>
      </c>
      <c r="AS71" s="14">
        <f t="shared" si="60"/>
        <v>11950</v>
      </c>
      <c r="AT71" s="14">
        <f t="shared" si="61"/>
        <v>40367</v>
      </c>
      <c r="AU71" s="14">
        <f t="shared" si="51"/>
        <v>123725</v>
      </c>
      <c r="AV71" s="14">
        <f t="shared" si="52"/>
        <v>139536</v>
      </c>
      <c r="AW71" s="14">
        <f t="shared" si="53"/>
        <v>9380</v>
      </c>
      <c r="AX71" s="14">
        <f t="shared" si="54"/>
        <v>3044821</v>
      </c>
      <c r="AY71" s="14">
        <v>2812910</v>
      </c>
      <c r="AZ71" s="14">
        <f t="shared" si="55"/>
        <v>231911</v>
      </c>
      <c r="BA71" s="2"/>
      <c r="BB71" s="14">
        <v>99835</v>
      </c>
      <c r="BC71" s="14">
        <v>11950</v>
      </c>
      <c r="BD71" s="2"/>
      <c r="BE71" s="64">
        <v>110</v>
      </c>
      <c r="BF71" s="64">
        <v>1.0720000000000001</v>
      </c>
    </row>
    <row r="72" spans="1:58" ht="15" x14ac:dyDescent="0.2">
      <c r="A72" s="20" t="s">
        <v>10</v>
      </c>
      <c r="B72" s="21" t="s">
        <v>226</v>
      </c>
      <c r="C72" s="45">
        <v>441</v>
      </c>
      <c r="D72" s="45">
        <v>66</v>
      </c>
      <c r="E72" s="45">
        <v>39</v>
      </c>
      <c r="F72" s="45">
        <v>0</v>
      </c>
      <c r="G72" s="45">
        <v>16</v>
      </c>
      <c r="H72" s="45">
        <v>1</v>
      </c>
      <c r="I72" s="45">
        <v>0</v>
      </c>
      <c r="J72" s="45"/>
      <c r="K72" s="45">
        <v>0</v>
      </c>
      <c r="L72" s="21"/>
      <c r="M72" s="45">
        <v>0</v>
      </c>
      <c r="N72" s="21">
        <v>0</v>
      </c>
      <c r="O72" s="45"/>
      <c r="P72" s="45"/>
      <c r="Q72" s="45">
        <v>0</v>
      </c>
      <c r="R72" s="45">
        <v>0</v>
      </c>
      <c r="S72" s="45">
        <v>0</v>
      </c>
      <c r="T72" s="45">
        <v>0</v>
      </c>
      <c r="U72" s="45">
        <f t="shared" si="56"/>
        <v>563</v>
      </c>
      <c r="V72" s="45">
        <v>0</v>
      </c>
      <c r="W72" s="45">
        <v>0</v>
      </c>
      <c r="X72" s="45">
        <v>0</v>
      </c>
      <c r="Y72" s="48">
        <f t="shared" si="40"/>
        <v>9.2999999999999972E-2</v>
      </c>
      <c r="Z72" s="45">
        <v>3122</v>
      </c>
      <c r="AA72" s="45">
        <f t="shared" si="41"/>
        <v>3472</v>
      </c>
      <c r="AB72" s="48">
        <v>1.383</v>
      </c>
      <c r="AC72" s="45">
        <f t="shared" si="42"/>
        <v>1425953</v>
      </c>
      <c r="AD72" s="62">
        <f t="shared" si="43"/>
        <v>341348</v>
      </c>
      <c r="AE72" s="45">
        <f t="shared" si="44"/>
        <v>0</v>
      </c>
      <c r="AF72" s="45">
        <f t="shared" si="45"/>
        <v>0</v>
      </c>
      <c r="AG72" s="45"/>
      <c r="AH72" s="45"/>
      <c r="AI72" s="45"/>
      <c r="AJ72" s="14">
        <f t="shared" si="46"/>
        <v>1767301</v>
      </c>
      <c r="AK72" s="21">
        <f t="shared" si="47"/>
        <v>1.1200000000000001</v>
      </c>
      <c r="AL72" s="45">
        <f t="shared" si="57"/>
        <v>172825</v>
      </c>
      <c r="AM72" s="14">
        <f t="shared" si="48"/>
        <v>0</v>
      </c>
      <c r="AN72" s="14">
        <f t="shared" si="49"/>
        <v>0</v>
      </c>
      <c r="AO72" s="14">
        <f t="shared" si="50"/>
        <v>14351</v>
      </c>
      <c r="AP72" s="14"/>
      <c r="AQ72" s="14">
        <f t="shared" si="58"/>
        <v>187176</v>
      </c>
      <c r="AR72" s="14">
        <f t="shared" si="59"/>
        <v>85320</v>
      </c>
      <c r="AS72" s="14">
        <f t="shared" si="60"/>
        <v>10376</v>
      </c>
      <c r="AT72" s="14">
        <f t="shared" si="61"/>
        <v>32091</v>
      </c>
      <c r="AU72" s="14">
        <f t="shared" si="51"/>
        <v>98350</v>
      </c>
      <c r="AV72" s="14">
        <f t="shared" si="52"/>
        <v>130968</v>
      </c>
      <c r="AW72" s="14">
        <f t="shared" si="53"/>
        <v>6670</v>
      </c>
      <c r="AX72" s="14">
        <f t="shared" si="54"/>
        <v>2318252</v>
      </c>
      <c r="AY72" s="14">
        <v>2202905</v>
      </c>
      <c r="AZ72" s="14">
        <f t="shared" si="55"/>
        <v>115347</v>
      </c>
      <c r="BA72" s="2"/>
      <c r="BB72" s="14">
        <v>85320</v>
      </c>
      <c r="BC72" s="14">
        <v>10376</v>
      </c>
      <c r="BD72" s="2"/>
      <c r="BE72" s="64">
        <v>111</v>
      </c>
      <c r="BF72" s="64">
        <v>1.071</v>
      </c>
    </row>
    <row r="73" spans="1:58" ht="15" x14ac:dyDescent="0.2">
      <c r="A73" s="20" t="s">
        <v>10</v>
      </c>
      <c r="B73" s="21" t="s">
        <v>227</v>
      </c>
      <c r="C73" s="45">
        <v>1162</v>
      </c>
      <c r="D73" s="45">
        <v>0</v>
      </c>
      <c r="E73" s="45">
        <v>121</v>
      </c>
      <c r="F73" s="45">
        <v>0</v>
      </c>
      <c r="G73" s="45">
        <v>29</v>
      </c>
      <c r="H73" s="45">
        <v>10</v>
      </c>
      <c r="I73" s="45">
        <v>0</v>
      </c>
      <c r="J73" s="45"/>
      <c r="K73" s="45">
        <v>1</v>
      </c>
      <c r="L73" s="21"/>
      <c r="M73" s="45">
        <v>0</v>
      </c>
      <c r="N73" s="21">
        <v>0</v>
      </c>
      <c r="O73" s="45"/>
      <c r="P73" s="45"/>
      <c r="Q73" s="45">
        <v>0</v>
      </c>
      <c r="R73" s="45">
        <v>0</v>
      </c>
      <c r="S73" s="45">
        <v>0</v>
      </c>
      <c r="T73" s="45">
        <v>0</v>
      </c>
      <c r="U73" s="45">
        <f t="shared" si="56"/>
        <v>1323</v>
      </c>
      <c r="V73" s="45">
        <v>0</v>
      </c>
      <c r="W73" s="45">
        <v>0</v>
      </c>
      <c r="X73" s="45">
        <v>0</v>
      </c>
      <c r="Y73" s="48">
        <f t="shared" si="40"/>
        <v>0</v>
      </c>
      <c r="Z73" s="45">
        <v>2829</v>
      </c>
      <c r="AA73" s="45">
        <f t="shared" si="41"/>
        <v>3109</v>
      </c>
      <c r="AB73" s="48">
        <v>1.171</v>
      </c>
      <c r="AC73" s="45">
        <f t="shared" si="42"/>
        <v>3181321</v>
      </c>
      <c r="AD73" s="62">
        <f t="shared" si="43"/>
        <v>930524</v>
      </c>
      <c r="AE73" s="45">
        <f t="shared" si="44"/>
        <v>1239</v>
      </c>
      <c r="AF73" s="45">
        <f t="shared" si="45"/>
        <v>0</v>
      </c>
      <c r="AG73" s="45"/>
      <c r="AH73" s="45"/>
      <c r="AI73" s="45"/>
      <c r="AJ73" s="14">
        <f t="shared" si="46"/>
        <v>4113084</v>
      </c>
      <c r="AK73" s="21">
        <f t="shared" si="47"/>
        <v>1.1200000000000001</v>
      </c>
      <c r="AL73" s="45">
        <f t="shared" si="57"/>
        <v>0</v>
      </c>
      <c r="AM73" s="14">
        <f t="shared" si="48"/>
        <v>0</v>
      </c>
      <c r="AN73" s="14">
        <f t="shared" si="49"/>
        <v>0</v>
      </c>
      <c r="AO73" s="14">
        <f t="shared" si="50"/>
        <v>0</v>
      </c>
      <c r="AP73" s="14"/>
      <c r="AQ73" s="14">
        <f t="shared" si="58"/>
        <v>0</v>
      </c>
      <c r="AR73" s="14">
        <f t="shared" si="59"/>
        <v>180387</v>
      </c>
      <c r="AS73" s="14">
        <f t="shared" si="60"/>
        <v>24259</v>
      </c>
      <c r="AT73" s="14">
        <f t="shared" si="61"/>
        <v>75411</v>
      </c>
      <c r="AU73" s="14">
        <f t="shared" si="51"/>
        <v>229600</v>
      </c>
      <c r="AV73" s="14">
        <f t="shared" si="52"/>
        <v>339048</v>
      </c>
      <c r="AW73" s="14">
        <f t="shared" si="53"/>
        <v>15034</v>
      </c>
      <c r="AX73" s="14">
        <f t="shared" si="54"/>
        <v>4976823</v>
      </c>
      <c r="AY73" s="14">
        <v>4687362</v>
      </c>
      <c r="AZ73" s="14">
        <f t="shared" si="55"/>
        <v>289461</v>
      </c>
      <c r="BA73" s="2"/>
      <c r="BB73" s="14">
        <v>180387</v>
      </c>
      <c r="BC73" s="14">
        <v>24259</v>
      </c>
      <c r="BD73" s="2"/>
      <c r="BE73" s="64">
        <v>112</v>
      </c>
      <c r="BF73" s="64">
        <v>1.071</v>
      </c>
    </row>
    <row r="74" spans="1:58" ht="15" x14ac:dyDescent="0.2">
      <c r="A74" s="20" t="s">
        <v>6</v>
      </c>
      <c r="B74" s="21" t="s">
        <v>228</v>
      </c>
      <c r="C74" s="45">
        <v>519</v>
      </c>
      <c r="D74" s="45">
        <v>101</v>
      </c>
      <c r="E74" s="45">
        <v>35</v>
      </c>
      <c r="F74" s="45">
        <v>0</v>
      </c>
      <c r="G74" s="45">
        <v>17</v>
      </c>
      <c r="H74" s="45">
        <v>1</v>
      </c>
      <c r="I74" s="45">
        <v>0</v>
      </c>
      <c r="J74" s="45"/>
      <c r="K74" s="45">
        <v>0</v>
      </c>
      <c r="L74" s="21"/>
      <c r="M74" s="45">
        <v>0</v>
      </c>
      <c r="N74" s="21">
        <v>0</v>
      </c>
      <c r="O74" s="45"/>
      <c r="P74" s="45"/>
      <c r="Q74" s="45">
        <v>0</v>
      </c>
      <c r="R74" s="45">
        <v>0</v>
      </c>
      <c r="S74" s="45">
        <v>0</v>
      </c>
      <c r="T74" s="45">
        <v>0</v>
      </c>
      <c r="U74" s="45">
        <f t="shared" si="56"/>
        <v>673</v>
      </c>
      <c r="V74" s="45">
        <v>0</v>
      </c>
      <c r="W74" s="45">
        <v>0</v>
      </c>
      <c r="X74" s="45">
        <v>0</v>
      </c>
      <c r="Y74" s="48">
        <f t="shared" si="40"/>
        <v>7.6000000000000068E-2</v>
      </c>
      <c r="Z74" s="45">
        <v>3403</v>
      </c>
      <c r="AA74" s="45">
        <f t="shared" si="41"/>
        <v>3625</v>
      </c>
      <c r="AB74" s="48">
        <v>1.504</v>
      </c>
      <c r="AC74" s="45">
        <f t="shared" si="42"/>
        <v>1824987</v>
      </c>
      <c r="AD74" s="62">
        <f t="shared" si="43"/>
        <v>331996</v>
      </c>
      <c r="AE74" s="45">
        <f t="shared" si="44"/>
        <v>0</v>
      </c>
      <c r="AF74" s="45">
        <f t="shared" si="45"/>
        <v>0</v>
      </c>
      <c r="AG74" s="45"/>
      <c r="AH74" s="45"/>
      <c r="AI74" s="45"/>
      <c r="AJ74" s="14">
        <f t="shared" si="46"/>
        <v>2156983</v>
      </c>
      <c r="AK74" s="21">
        <f t="shared" si="47"/>
        <v>1.1200000000000001</v>
      </c>
      <c r="AL74" s="45">
        <f t="shared" si="57"/>
        <v>264475</v>
      </c>
      <c r="AM74" s="14">
        <f t="shared" si="48"/>
        <v>0</v>
      </c>
      <c r="AN74" s="14">
        <f t="shared" si="49"/>
        <v>0</v>
      </c>
      <c r="AO74" s="14">
        <f t="shared" si="50"/>
        <v>17946</v>
      </c>
      <c r="AP74" s="14"/>
      <c r="AQ74" s="14">
        <f t="shared" si="58"/>
        <v>282421</v>
      </c>
      <c r="AR74" s="14">
        <f t="shared" si="59"/>
        <v>92117</v>
      </c>
      <c r="AS74" s="14">
        <f t="shared" si="60"/>
        <v>11127</v>
      </c>
      <c r="AT74" s="14">
        <f t="shared" si="61"/>
        <v>38361</v>
      </c>
      <c r="AU74" s="14">
        <f t="shared" si="51"/>
        <v>117600</v>
      </c>
      <c r="AV74" s="14">
        <f t="shared" si="52"/>
        <v>130968</v>
      </c>
      <c r="AW74" s="14">
        <f t="shared" si="53"/>
        <v>8348</v>
      </c>
      <c r="AX74" s="14">
        <f t="shared" si="54"/>
        <v>2837925</v>
      </c>
      <c r="AY74" s="14">
        <v>2659996</v>
      </c>
      <c r="AZ74" s="14">
        <f t="shared" si="55"/>
        <v>177929</v>
      </c>
      <c r="BA74" s="2"/>
      <c r="BB74" s="14">
        <v>92117</v>
      </c>
      <c r="BC74" s="14">
        <v>11127</v>
      </c>
      <c r="BD74" s="2"/>
      <c r="BE74" s="64">
        <v>113</v>
      </c>
      <c r="BF74" s="64">
        <v>1.07</v>
      </c>
    </row>
    <row r="75" spans="1:58" ht="15" x14ac:dyDescent="0.2">
      <c r="A75" s="20" t="s">
        <v>6</v>
      </c>
      <c r="B75" s="21" t="s">
        <v>229</v>
      </c>
      <c r="C75" s="45">
        <v>676</v>
      </c>
      <c r="D75" s="45">
        <v>65</v>
      </c>
      <c r="E75" s="45">
        <v>55</v>
      </c>
      <c r="F75" s="45">
        <v>0</v>
      </c>
      <c r="G75" s="45">
        <v>50</v>
      </c>
      <c r="H75" s="45">
        <v>0</v>
      </c>
      <c r="I75" s="45">
        <v>0</v>
      </c>
      <c r="J75" s="45"/>
      <c r="K75" s="45">
        <v>4</v>
      </c>
      <c r="L75" s="21"/>
      <c r="M75" s="45">
        <v>0</v>
      </c>
      <c r="N75" s="21">
        <v>0</v>
      </c>
      <c r="O75" s="45"/>
      <c r="P75" s="45"/>
      <c r="Q75" s="45">
        <v>0</v>
      </c>
      <c r="R75" s="45">
        <v>0</v>
      </c>
      <c r="S75" s="45">
        <v>0</v>
      </c>
      <c r="T75" s="45">
        <v>0</v>
      </c>
      <c r="U75" s="45">
        <f t="shared" si="56"/>
        <v>850</v>
      </c>
      <c r="V75" s="45">
        <v>0</v>
      </c>
      <c r="W75" s="45">
        <v>0</v>
      </c>
      <c r="X75" s="45">
        <v>0</v>
      </c>
      <c r="Y75" s="48">
        <f t="shared" si="40"/>
        <v>9.2999999999999972E-2</v>
      </c>
      <c r="Z75" s="45">
        <v>3711</v>
      </c>
      <c r="AA75" s="45">
        <f t="shared" si="41"/>
        <v>3941</v>
      </c>
      <c r="AB75" s="48">
        <v>1.5409999999999999</v>
      </c>
      <c r="AC75" s="45">
        <f t="shared" si="42"/>
        <v>2435532</v>
      </c>
      <c r="AD75" s="62">
        <f t="shared" si="43"/>
        <v>724780</v>
      </c>
      <c r="AE75" s="45">
        <f t="shared" si="44"/>
        <v>4957</v>
      </c>
      <c r="AF75" s="45">
        <f t="shared" si="45"/>
        <v>0</v>
      </c>
      <c r="AG75" s="45"/>
      <c r="AH75" s="45"/>
      <c r="AI75" s="45"/>
      <c r="AJ75" s="14">
        <f t="shared" si="46"/>
        <v>3165269</v>
      </c>
      <c r="AK75" s="21">
        <f t="shared" si="47"/>
        <v>1.1200000000000001</v>
      </c>
      <c r="AL75" s="45">
        <f t="shared" si="57"/>
        <v>170206</v>
      </c>
      <c r="AM75" s="14">
        <f t="shared" si="48"/>
        <v>0</v>
      </c>
      <c r="AN75" s="14">
        <f t="shared" si="49"/>
        <v>0</v>
      </c>
      <c r="AO75" s="14">
        <f t="shared" si="50"/>
        <v>14133</v>
      </c>
      <c r="AP75" s="14"/>
      <c r="AQ75" s="14">
        <f t="shared" si="58"/>
        <v>184339</v>
      </c>
      <c r="AR75" s="14">
        <f t="shared" si="59"/>
        <v>129817</v>
      </c>
      <c r="AS75" s="14">
        <f t="shared" si="60"/>
        <v>12907</v>
      </c>
      <c r="AT75" s="14">
        <f t="shared" si="61"/>
        <v>48450</v>
      </c>
      <c r="AU75" s="14">
        <f t="shared" si="51"/>
        <v>148050</v>
      </c>
      <c r="AV75" s="14">
        <f t="shared" si="52"/>
        <v>312120</v>
      </c>
      <c r="AW75" s="14">
        <f t="shared" si="53"/>
        <v>11739</v>
      </c>
      <c r="AX75" s="14">
        <f t="shared" si="54"/>
        <v>4012691</v>
      </c>
      <c r="AY75" s="14">
        <v>3895135</v>
      </c>
      <c r="AZ75" s="14">
        <f t="shared" si="55"/>
        <v>117556</v>
      </c>
      <c r="BA75" s="2"/>
      <c r="BB75" s="14">
        <v>129817</v>
      </c>
      <c r="BC75" s="14">
        <v>12907</v>
      </c>
      <c r="BD75" s="2"/>
      <c r="BE75" s="64">
        <v>114</v>
      </c>
      <c r="BF75" s="64">
        <v>1.07</v>
      </c>
    </row>
    <row r="76" spans="1:58" ht="15" x14ac:dyDescent="0.2">
      <c r="A76" s="20" t="s">
        <v>6</v>
      </c>
      <c r="B76" s="21" t="s">
        <v>94</v>
      </c>
      <c r="C76" s="45">
        <v>834</v>
      </c>
      <c r="D76" s="45">
        <v>38</v>
      </c>
      <c r="E76" s="45">
        <v>64</v>
      </c>
      <c r="F76" s="45">
        <v>0</v>
      </c>
      <c r="G76" s="45">
        <v>20</v>
      </c>
      <c r="H76" s="45">
        <v>1</v>
      </c>
      <c r="I76" s="45">
        <v>0</v>
      </c>
      <c r="J76" s="45"/>
      <c r="K76" s="45">
        <v>1</v>
      </c>
      <c r="L76" s="21"/>
      <c r="M76" s="45">
        <v>0</v>
      </c>
      <c r="N76" s="21">
        <v>0</v>
      </c>
      <c r="O76" s="45"/>
      <c r="P76" s="45"/>
      <c r="Q76" s="45">
        <v>0</v>
      </c>
      <c r="R76" s="45">
        <v>0</v>
      </c>
      <c r="S76" s="45">
        <v>0</v>
      </c>
      <c r="T76" s="45">
        <v>0</v>
      </c>
      <c r="U76" s="45">
        <f t="shared" si="56"/>
        <v>958</v>
      </c>
      <c r="V76" s="45">
        <v>0</v>
      </c>
      <c r="W76" s="45">
        <v>0</v>
      </c>
      <c r="X76" s="45">
        <v>0</v>
      </c>
      <c r="Y76" s="48">
        <f t="shared" si="40"/>
        <v>0</v>
      </c>
      <c r="Z76" s="45">
        <v>3695</v>
      </c>
      <c r="AA76" s="45">
        <f t="shared" si="41"/>
        <v>3940</v>
      </c>
      <c r="AB76" s="48">
        <v>1.63</v>
      </c>
      <c r="AC76" s="45">
        <f t="shared" si="42"/>
        <v>3178324</v>
      </c>
      <c r="AD76" s="62">
        <f t="shared" si="43"/>
        <v>495656</v>
      </c>
      <c r="AE76" s="45">
        <f t="shared" si="44"/>
        <v>1239</v>
      </c>
      <c r="AF76" s="45">
        <f t="shared" si="45"/>
        <v>0</v>
      </c>
      <c r="AG76" s="45"/>
      <c r="AH76" s="45"/>
      <c r="AI76" s="45"/>
      <c r="AJ76" s="14">
        <f t="shared" si="46"/>
        <v>3675219</v>
      </c>
      <c r="AK76" s="21">
        <f t="shared" si="47"/>
        <v>1.1200000000000001</v>
      </c>
      <c r="AL76" s="45">
        <f t="shared" si="57"/>
        <v>99505</v>
      </c>
      <c r="AM76" s="14">
        <f t="shared" si="48"/>
        <v>0</v>
      </c>
      <c r="AN76" s="14">
        <f t="shared" si="49"/>
        <v>0</v>
      </c>
      <c r="AO76" s="14">
        <f t="shared" si="50"/>
        <v>0</v>
      </c>
      <c r="AP76" s="14"/>
      <c r="AQ76" s="14">
        <f t="shared" si="58"/>
        <v>99505</v>
      </c>
      <c r="AR76" s="14">
        <f t="shared" si="59"/>
        <v>151266</v>
      </c>
      <c r="AS76" s="14">
        <f t="shared" si="60"/>
        <v>17974</v>
      </c>
      <c r="AT76" s="14">
        <f t="shared" si="61"/>
        <v>54606</v>
      </c>
      <c r="AU76" s="14">
        <f t="shared" si="51"/>
        <v>167300</v>
      </c>
      <c r="AV76" s="14">
        <f t="shared" si="52"/>
        <v>181152</v>
      </c>
      <c r="AW76" s="14">
        <f t="shared" si="53"/>
        <v>14552</v>
      </c>
      <c r="AX76" s="14">
        <f t="shared" si="54"/>
        <v>4361574</v>
      </c>
      <c r="AY76" s="14">
        <v>4124125</v>
      </c>
      <c r="AZ76" s="14">
        <f t="shared" si="55"/>
        <v>237449</v>
      </c>
      <c r="BA76" s="2"/>
      <c r="BB76" s="14">
        <v>151266</v>
      </c>
      <c r="BC76" s="14">
        <v>17974</v>
      </c>
      <c r="BD76" s="2"/>
      <c r="BE76" s="64">
        <v>115</v>
      </c>
      <c r="BF76" s="64">
        <v>1.069</v>
      </c>
    </row>
    <row r="77" spans="1:58" ht="15" x14ac:dyDescent="0.2">
      <c r="A77" s="20" t="s">
        <v>6</v>
      </c>
      <c r="B77" s="21" t="s">
        <v>5</v>
      </c>
      <c r="C77" s="45">
        <v>1856</v>
      </c>
      <c r="D77" s="45">
        <v>0</v>
      </c>
      <c r="E77" s="45">
        <v>90</v>
      </c>
      <c r="F77" s="45">
        <v>0</v>
      </c>
      <c r="G77" s="45">
        <v>63</v>
      </c>
      <c r="H77" s="45">
        <v>3</v>
      </c>
      <c r="I77" s="45">
        <v>0</v>
      </c>
      <c r="J77" s="45"/>
      <c r="K77" s="45">
        <v>2</v>
      </c>
      <c r="L77" s="21"/>
      <c r="M77" s="45">
        <v>40</v>
      </c>
      <c r="N77" s="21">
        <v>0</v>
      </c>
      <c r="O77" s="45"/>
      <c r="P77" s="45"/>
      <c r="Q77" s="45">
        <v>340</v>
      </c>
      <c r="R77" s="45">
        <v>2</v>
      </c>
      <c r="S77" s="45">
        <v>0</v>
      </c>
      <c r="T77" s="45">
        <v>0</v>
      </c>
      <c r="U77" s="45">
        <f t="shared" si="56"/>
        <v>2396</v>
      </c>
      <c r="V77" s="45">
        <v>0</v>
      </c>
      <c r="W77" s="45">
        <v>0</v>
      </c>
      <c r="X77" s="45">
        <v>1</v>
      </c>
      <c r="Y77" s="48">
        <f t="shared" si="40"/>
        <v>0</v>
      </c>
      <c r="Z77" s="45">
        <v>2395</v>
      </c>
      <c r="AA77" s="45">
        <f t="shared" si="41"/>
        <v>2570</v>
      </c>
      <c r="AB77" s="48">
        <v>1</v>
      </c>
      <c r="AC77" s="45">
        <f t="shared" si="42"/>
        <v>4339328</v>
      </c>
      <c r="AD77" s="62">
        <f t="shared" si="43"/>
        <v>1038072</v>
      </c>
      <c r="AE77" s="45">
        <f t="shared" si="44"/>
        <v>2478</v>
      </c>
      <c r="AF77" s="45">
        <f t="shared" si="45"/>
        <v>93520</v>
      </c>
      <c r="AG77" s="45"/>
      <c r="AH77" s="45"/>
      <c r="AI77" s="45"/>
      <c r="AJ77" s="14">
        <f t="shared" si="46"/>
        <v>5473398</v>
      </c>
      <c r="AK77" s="21">
        <f t="shared" si="47"/>
        <v>1.1200000000000001</v>
      </c>
      <c r="AL77" s="45">
        <f t="shared" si="57"/>
        <v>0</v>
      </c>
      <c r="AM77" s="14">
        <f t="shared" si="48"/>
        <v>0</v>
      </c>
      <c r="AN77" s="14">
        <f t="shared" si="49"/>
        <v>685174</v>
      </c>
      <c r="AO77" s="14">
        <f t="shared" si="50"/>
        <v>0</v>
      </c>
      <c r="AP77" s="14"/>
      <c r="AQ77" s="14">
        <f t="shared" si="58"/>
        <v>685174</v>
      </c>
      <c r="AR77" s="14">
        <f t="shared" si="59"/>
        <v>220432</v>
      </c>
      <c r="AS77" s="14">
        <f t="shared" si="60"/>
        <v>28752</v>
      </c>
      <c r="AT77" s="14">
        <f t="shared" si="61"/>
        <v>136481</v>
      </c>
      <c r="AU77" s="14">
        <f t="shared" si="51"/>
        <v>351575</v>
      </c>
      <c r="AV77" s="14">
        <f t="shared" si="52"/>
        <v>438192</v>
      </c>
      <c r="AW77" s="14">
        <f t="shared" si="53"/>
        <v>19544</v>
      </c>
      <c r="AX77" s="14">
        <f t="shared" si="54"/>
        <v>7353548</v>
      </c>
      <c r="AY77" s="14">
        <v>6883604</v>
      </c>
      <c r="AZ77" s="14">
        <f t="shared" si="55"/>
        <v>469944</v>
      </c>
      <c r="BA77" s="2"/>
      <c r="BB77" s="14">
        <v>185536</v>
      </c>
      <c r="BC77" s="14">
        <v>25541</v>
      </c>
      <c r="BD77" s="2"/>
      <c r="BE77" s="64">
        <v>116</v>
      </c>
      <c r="BF77" s="64">
        <v>1.069</v>
      </c>
    </row>
    <row r="78" spans="1:58" ht="15" x14ac:dyDescent="0.2">
      <c r="A78" s="20" t="s">
        <v>1</v>
      </c>
      <c r="B78" s="21" t="s">
        <v>93</v>
      </c>
      <c r="C78" s="45">
        <v>288</v>
      </c>
      <c r="D78" s="45">
        <v>67</v>
      </c>
      <c r="E78" s="45">
        <v>38</v>
      </c>
      <c r="F78" s="45">
        <v>0</v>
      </c>
      <c r="G78" s="45">
        <v>15</v>
      </c>
      <c r="H78" s="45">
        <v>1</v>
      </c>
      <c r="I78" s="45">
        <v>0</v>
      </c>
      <c r="J78" s="45"/>
      <c r="K78" s="45">
        <v>0</v>
      </c>
      <c r="L78" s="21"/>
      <c r="M78" s="45">
        <v>0</v>
      </c>
      <c r="N78" s="21">
        <v>0</v>
      </c>
      <c r="O78" s="45"/>
      <c r="P78" s="45"/>
      <c r="Q78" s="45">
        <v>0</v>
      </c>
      <c r="R78" s="45">
        <v>0</v>
      </c>
      <c r="S78" s="45">
        <v>0</v>
      </c>
      <c r="T78" s="45">
        <v>0</v>
      </c>
      <c r="U78" s="45">
        <f t="shared" si="56"/>
        <v>409</v>
      </c>
      <c r="V78" s="45">
        <v>0</v>
      </c>
      <c r="W78" s="45">
        <v>0</v>
      </c>
      <c r="X78" s="45">
        <v>0</v>
      </c>
      <c r="Y78" s="48">
        <f t="shared" si="40"/>
        <v>9.2000000000000082E-2</v>
      </c>
      <c r="Z78" s="45">
        <v>3508</v>
      </c>
      <c r="AA78" s="45">
        <f t="shared" si="41"/>
        <v>3792</v>
      </c>
      <c r="AB78" s="48">
        <v>1.5349999999999999</v>
      </c>
      <c r="AC78" s="45">
        <f t="shared" si="42"/>
        <v>1033583</v>
      </c>
      <c r="AD78" s="62">
        <f t="shared" si="43"/>
        <v>327320</v>
      </c>
      <c r="AE78" s="45">
        <f t="shared" si="44"/>
        <v>0</v>
      </c>
      <c r="AF78" s="45">
        <f t="shared" si="45"/>
        <v>0</v>
      </c>
      <c r="AG78" s="45"/>
      <c r="AH78" s="45"/>
      <c r="AI78" s="45"/>
      <c r="AJ78" s="14">
        <f t="shared" si="46"/>
        <v>1360903</v>
      </c>
      <c r="AK78" s="21">
        <f t="shared" si="47"/>
        <v>1.1200000000000001</v>
      </c>
      <c r="AL78" s="45">
        <f t="shared" si="57"/>
        <v>175444</v>
      </c>
      <c r="AM78" s="14">
        <f t="shared" si="48"/>
        <v>0</v>
      </c>
      <c r="AN78" s="14">
        <f t="shared" si="49"/>
        <v>0</v>
      </c>
      <c r="AO78" s="14">
        <f t="shared" si="50"/>
        <v>14411</v>
      </c>
      <c r="AP78" s="14"/>
      <c r="AQ78" s="14">
        <f t="shared" si="58"/>
        <v>189855</v>
      </c>
      <c r="AR78" s="14">
        <f t="shared" si="59"/>
        <v>54711</v>
      </c>
      <c r="AS78" s="14">
        <f t="shared" si="60"/>
        <v>7196</v>
      </c>
      <c r="AT78" s="14">
        <f t="shared" si="61"/>
        <v>23313</v>
      </c>
      <c r="AU78" s="14">
        <f t="shared" si="51"/>
        <v>71400</v>
      </c>
      <c r="AV78" s="14">
        <f t="shared" si="52"/>
        <v>124848</v>
      </c>
      <c r="AW78" s="14">
        <f t="shared" si="53"/>
        <v>5094</v>
      </c>
      <c r="AX78" s="14">
        <f t="shared" si="54"/>
        <v>1837320</v>
      </c>
      <c r="AY78" s="14">
        <v>1748349</v>
      </c>
      <c r="AZ78" s="14">
        <f t="shared" si="55"/>
        <v>88971</v>
      </c>
      <c r="BA78" s="2"/>
      <c r="BB78" s="14">
        <v>54711</v>
      </c>
      <c r="BC78" s="14">
        <v>7196</v>
      </c>
      <c r="BD78" s="2"/>
      <c r="BE78" s="64">
        <v>117</v>
      </c>
      <c r="BF78" s="64">
        <v>1.0680000000000001</v>
      </c>
    </row>
    <row r="79" spans="1:58" ht="15" x14ac:dyDescent="0.2">
      <c r="A79" s="20" t="s">
        <v>1</v>
      </c>
      <c r="B79" s="21" t="s">
        <v>92</v>
      </c>
      <c r="C79" s="45">
        <v>288</v>
      </c>
      <c r="D79" s="45">
        <v>0</v>
      </c>
      <c r="E79" s="45">
        <v>45</v>
      </c>
      <c r="F79" s="45">
        <v>0</v>
      </c>
      <c r="G79" s="45">
        <v>12</v>
      </c>
      <c r="H79" s="45">
        <v>1</v>
      </c>
      <c r="I79" s="45">
        <v>0</v>
      </c>
      <c r="J79" s="45"/>
      <c r="K79" s="45">
        <v>0</v>
      </c>
      <c r="L79" s="21"/>
      <c r="M79" s="45">
        <v>0</v>
      </c>
      <c r="N79" s="21">
        <v>0</v>
      </c>
      <c r="O79" s="45"/>
      <c r="P79" s="45"/>
      <c r="Q79" s="45">
        <v>0</v>
      </c>
      <c r="R79" s="45">
        <v>0</v>
      </c>
      <c r="S79" s="45">
        <v>0</v>
      </c>
      <c r="T79" s="45">
        <v>0</v>
      </c>
      <c r="U79" s="45">
        <f t="shared" si="56"/>
        <v>346</v>
      </c>
      <c r="V79" s="45">
        <v>0</v>
      </c>
      <c r="W79" s="45">
        <v>0</v>
      </c>
      <c r="X79" s="45">
        <v>0</v>
      </c>
      <c r="Y79" s="48">
        <f t="shared" si="40"/>
        <v>0</v>
      </c>
      <c r="Z79" s="45">
        <v>3837</v>
      </c>
      <c r="AA79" s="45">
        <f t="shared" si="41"/>
        <v>4155</v>
      </c>
      <c r="AB79" s="48">
        <v>1.6419999999999999</v>
      </c>
      <c r="AC79" s="45">
        <f t="shared" si="42"/>
        <v>1105631</v>
      </c>
      <c r="AD79" s="62">
        <f t="shared" si="43"/>
        <v>331996</v>
      </c>
      <c r="AE79" s="45">
        <f t="shared" si="44"/>
        <v>0</v>
      </c>
      <c r="AF79" s="45">
        <f t="shared" si="45"/>
        <v>0</v>
      </c>
      <c r="AG79" s="45"/>
      <c r="AH79" s="45"/>
      <c r="AI79" s="45"/>
      <c r="AJ79" s="14">
        <f t="shared" si="46"/>
        <v>1437627</v>
      </c>
      <c r="AK79" s="21">
        <f t="shared" si="47"/>
        <v>1.1200000000000001</v>
      </c>
      <c r="AL79" s="45">
        <f t="shared" si="57"/>
        <v>0</v>
      </c>
      <c r="AM79" s="14">
        <f t="shared" si="48"/>
        <v>0</v>
      </c>
      <c r="AN79" s="14">
        <f t="shared" si="49"/>
        <v>0</v>
      </c>
      <c r="AO79" s="14">
        <f t="shared" si="50"/>
        <v>0</v>
      </c>
      <c r="AP79" s="14"/>
      <c r="AQ79" s="14">
        <f t="shared" si="58"/>
        <v>0</v>
      </c>
      <c r="AR79" s="14">
        <f t="shared" si="59"/>
        <v>98943</v>
      </c>
      <c r="AS79" s="14">
        <f t="shared" si="60"/>
        <v>10389</v>
      </c>
      <c r="AT79" s="14">
        <f t="shared" si="61"/>
        <v>19722</v>
      </c>
      <c r="AU79" s="14">
        <f t="shared" si="51"/>
        <v>60375</v>
      </c>
      <c r="AV79" s="14">
        <f t="shared" si="52"/>
        <v>118728</v>
      </c>
      <c r="AW79" s="14">
        <f t="shared" si="53"/>
        <v>5513</v>
      </c>
      <c r="AX79" s="14">
        <f t="shared" si="54"/>
        <v>1751297</v>
      </c>
      <c r="AY79" s="14">
        <v>1588804</v>
      </c>
      <c r="AZ79" s="14">
        <f t="shared" si="55"/>
        <v>162493</v>
      </c>
      <c r="BA79" s="2"/>
      <c r="BB79" s="14">
        <v>98943</v>
      </c>
      <c r="BC79" s="14">
        <v>10389</v>
      </c>
      <c r="BD79" s="2"/>
      <c r="BE79" s="64">
        <v>118</v>
      </c>
      <c r="BF79" s="64">
        <v>1.0680000000000001</v>
      </c>
    </row>
    <row r="80" spans="1:58" ht="15" x14ac:dyDescent="0.2">
      <c r="A80" s="20" t="s">
        <v>1</v>
      </c>
      <c r="B80" s="21" t="s">
        <v>230</v>
      </c>
      <c r="C80" s="45">
        <v>176</v>
      </c>
      <c r="D80" s="45">
        <v>37</v>
      </c>
      <c r="E80" s="45">
        <v>11</v>
      </c>
      <c r="F80" s="45">
        <v>0</v>
      </c>
      <c r="G80" s="45">
        <v>2</v>
      </c>
      <c r="H80" s="45">
        <v>0</v>
      </c>
      <c r="I80" s="45">
        <v>0</v>
      </c>
      <c r="J80" s="45"/>
      <c r="K80" s="45">
        <v>0</v>
      </c>
      <c r="L80" s="21"/>
      <c r="M80" s="45">
        <v>0</v>
      </c>
      <c r="N80" s="21">
        <v>0</v>
      </c>
      <c r="O80" s="45"/>
      <c r="P80" s="45"/>
      <c r="Q80" s="45">
        <v>0</v>
      </c>
      <c r="R80" s="45">
        <v>0</v>
      </c>
      <c r="S80" s="45">
        <v>0</v>
      </c>
      <c r="T80" s="45">
        <v>0</v>
      </c>
      <c r="U80" s="45">
        <f t="shared" si="56"/>
        <v>226</v>
      </c>
      <c r="V80" s="45">
        <v>0</v>
      </c>
      <c r="W80" s="45">
        <v>0</v>
      </c>
      <c r="X80" s="45">
        <v>0</v>
      </c>
      <c r="Y80" s="48">
        <f t="shared" si="40"/>
        <v>0</v>
      </c>
      <c r="Z80" s="45">
        <v>4149</v>
      </c>
      <c r="AA80" s="45">
        <f t="shared" si="41"/>
        <v>4350</v>
      </c>
      <c r="AB80" s="48">
        <v>1.9830000000000001</v>
      </c>
      <c r="AC80" s="45">
        <f t="shared" si="42"/>
        <v>815981</v>
      </c>
      <c r="AD80" s="62">
        <f t="shared" si="43"/>
        <v>70140</v>
      </c>
      <c r="AE80" s="45">
        <f t="shared" si="44"/>
        <v>0</v>
      </c>
      <c r="AF80" s="45">
        <f t="shared" si="45"/>
        <v>0</v>
      </c>
      <c r="AG80" s="45"/>
      <c r="AH80" s="45"/>
      <c r="AI80" s="45"/>
      <c r="AJ80" s="14">
        <f t="shared" si="46"/>
        <v>886121</v>
      </c>
      <c r="AK80" s="21">
        <f t="shared" si="47"/>
        <v>1.1200000000000001</v>
      </c>
      <c r="AL80" s="45">
        <f t="shared" si="57"/>
        <v>96887</v>
      </c>
      <c r="AM80" s="14">
        <f t="shared" si="48"/>
        <v>0</v>
      </c>
      <c r="AN80" s="14">
        <f t="shared" si="49"/>
        <v>0</v>
      </c>
      <c r="AO80" s="14">
        <f t="shared" si="50"/>
        <v>0</v>
      </c>
      <c r="AP80" s="14"/>
      <c r="AQ80" s="14">
        <f t="shared" si="58"/>
        <v>96887</v>
      </c>
      <c r="AR80" s="14">
        <f t="shared" si="59"/>
        <v>42320</v>
      </c>
      <c r="AS80" s="14">
        <f t="shared" si="60"/>
        <v>4216</v>
      </c>
      <c r="AT80" s="14">
        <f t="shared" si="61"/>
        <v>12882</v>
      </c>
      <c r="AU80" s="14">
        <f t="shared" si="51"/>
        <v>39550</v>
      </c>
      <c r="AV80" s="14">
        <f t="shared" si="52"/>
        <v>23256</v>
      </c>
      <c r="AW80" s="14">
        <f t="shared" si="53"/>
        <v>3637</v>
      </c>
      <c r="AX80" s="14">
        <f t="shared" si="54"/>
        <v>1108869</v>
      </c>
      <c r="AY80" s="14">
        <v>1030379</v>
      </c>
      <c r="AZ80" s="14">
        <f t="shared" si="55"/>
        <v>78490</v>
      </c>
      <c r="BA80" s="2"/>
      <c r="BB80" s="14">
        <v>42320</v>
      </c>
      <c r="BC80" s="14">
        <v>4216</v>
      </c>
      <c r="BD80" s="2"/>
      <c r="BE80" s="64">
        <v>119</v>
      </c>
      <c r="BF80" s="64">
        <v>1.0669999999999999</v>
      </c>
    </row>
    <row r="81" spans="1:58" ht="15" x14ac:dyDescent="0.2">
      <c r="A81" s="20" t="s">
        <v>1</v>
      </c>
      <c r="B81" s="21" t="s">
        <v>91</v>
      </c>
      <c r="C81" s="45">
        <v>764</v>
      </c>
      <c r="D81" s="45">
        <v>151</v>
      </c>
      <c r="E81" s="45">
        <v>134</v>
      </c>
      <c r="F81" s="45">
        <v>0</v>
      </c>
      <c r="G81" s="45">
        <v>16</v>
      </c>
      <c r="H81" s="45">
        <v>0</v>
      </c>
      <c r="I81" s="45">
        <v>0</v>
      </c>
      <c r="J81" s="45"/>
      <c r="K81" s="45">
        <v>0</v>
      </c>
      <c r="L81" s="21"/>
      <c r="M81" s="45">
        <v>0</v>
      </c>
      <c r="N81" s="21">
        <v>0</v>
      </c>
      <c r="O81" s="45"/>
      <c r="P81" s="45"/>
      <c r="Q81" s="45">
        <v>0</v>
      </c>
      <c r="R81" s="45">
        <v>0</v>
      </c>
      <c r="S81" s="45">
        <v>0</v>
      </c>
      <c r="T81" s="45">
        <v>0</v>
      </c>
      <c r="U81" s="45">
        <f t="shared" si="56"/>
        <v>1065</v>
      </c>
      <c r="V81" s="45">
        <v>0</v>
      </c>
      <c r="W81" s="45">
        <v>0</v>
      </c>
      <c r="X81" s="45">
        <v>0</v>
      </c>
      <c r="Y81" s="48">
        <f t="shared" si="40"/>
        <v>5.2000000000000046E-2</v>
      </c>
      <c r="Z81" s="45">
        <v>3303</v>
      </c>
      <c r="AA81" s="45">
        <f t="shared" si="41"/>
        <v>3546</v>
      </c>
      <c r="AB81" s="48">
        <v>1.448</v>
      </c>
      <c r="AC81" s="45">
        <f t="shared" si="42"/>
        <v>2586464</v>
      </c>
      <c r="AD81" s="62">
        <f t="shared" si="43"/>
        <v>776216</v>
      </c>
      <c r="AE81" s="45">
        <f t="shared" si="44"/>
        <v>0</v>
      </c>
      <c r="AF81" s="45">
        <f t="shared" si="45"/>
        <v>0</v>
      </c>
      <c r="AG81" s="45"/>
      <c r="AH81" s="45"/>
      <c r="AI81" s="45"/>
      <c r="AJ81" s="14">
        <f t="shared" si="46"/>
        <v>3362680</v>
      </c>
      <c r="AK81" s="21">
        <f t="shared" si="47"/>
        <v>1.1200000000000001</v>
      </c>
      <c r="AL81" s="45">
        <f t="shared" si="57"/>
        <v>395403</v>
      </c>
      <c r="AM81" s="14">
        <f t="shared" si="48"/>
        <v>0</v>
      </c>
      <c r="AN81" s="14">
        <f t="shared" si="49"/>
        <v>0</v>
      </c>
      <c r="AO81" s="14">
        <f t="shared" si="50"/>
        <v>18358</v>
      </c>
      <c r="AP81" s="14"/>
      <c r="AQ81" s="14">
        <f t="shared" si="58"/>
        <v>413761</v>
      </c>
      <c r="AR81" s="14">
        <f t="shared" si="59"/>
        <v>158630</v>
      </c>
      <c r="AS81" s="14">
        <f t="shared" si="60"/>
        <v>18078</v>
      </c>
      <c r="AT81" s="14">
        <f t="shared" si="61"/>
        <v>60705</v>
      </c>
      <c r="AU81" s="14">
        <f t="shared" si="51"/>
        <v>186375</v>
      </c>
      <c r="AV81" s="14">
        <f t="shared" si="52"/>
        <v>242352</v>
      </c>
      <c r="AW81" s="14">
        <f t="shared" si="53"/>
        <v>12843</v>
      </c>
      <c r="AX81" s="14">
        <f t="shared" si="54"/>
        <v>4455424</v>
      </c>
      <c r="AY81" s="14">
        <v>4211999</v>
      </c>
      <c r="AZ81" s="14">
        <f t="shared" si="55"/>
        <v>243425</v>
      </c>
      <c r="BA81" s="2"/>
      <c r="BB81" s="14">
        <v>158630</v>
      </c>
      <c r="BC81" s="14">
        <v>18078</v>
      </c>
      <c r="BD81" s="2"/>
      <c r="BE81" s="64">
        <v>120</v>
      </c>
      <c r="BF81" s="64">
        <v>1.0669999999999999</v>
      </c>
    </row>
    <row r="82" spans="1:58" ht="15" x14ac:dyDescent="0.2">
      <c r="A82" s="20" t="s">
        <v>1</v>
      </c>
      <c r="B82" s="21" t="s">
        <v>0</v>
      </c>
      <c r="C82" s="45">
        <v>1030</v>
      </c>
      <c r="D82" s="45">
        <v>0</v>
      </c>
      <c r="E82" s="45">
        <v>106</v>
      </c>
      <c r="F82" s="45">
        <v>0</v>
      </c>
      <c r="G82" s="45">
        <v>38</v>
      </c>
      <c r="H82" s="45">
        <v>0</v>
      </c>
      <c r="I82" s="45">
        <v>0</v>
      </c>
      <c r="J82" s="45"/>
      <c r="K82" s="45">
        <v>4</v>
      </c>
      <c r="L82" s="21"/>
      <c r="M82" s="45">
        <v>0</v>
      </c>
      <c r="N82" s="21">
        <v>0</v>
      </c>
      <c r="O82" s="45"/>
      <c r="P82" s="45"/>
      <c r="Q82" s="45">
        <v>0</v>
      </c>
      <c r="R82" s="45">
        <v>0</v>
      </c>
      <c r="S82" s="45">
        <v>0</v>
      </c>
      <c r="T82" s="45">
        <v>0</v>
      </c>
      <c r="U82" s="45">
        <f t="shared" si="56"/>
        <v>1178</v>
      </c>
      <c r="V82" s="45">
        <v>0</v>
      </c>
      <c r="W82" s="45">
        <v>0</v>
      </c>
      <c r="X82" s="45">
        <v>0</v>
      </c>
      <c r="Y82" s="48">
        <f t="shared" si="40"/>
        <v>0</v>
      </c>
      <c r="Z82" s="45">
        <v>2588</v>
      </c>
      <c r="AA82" s="45">
        <f t="shared" si="41"/>
        <v>2771</v>
      </c>
      <c r="AB82" s="48">
        <v>1</v>
      </c>
      <c r="AC82" s="45">
        <f t="shared" si="42"/>
        <v>2408140</v>
      </c>
      <c r="AD82" s="62">
        <f t="shared" si="43"/>
        <v>851032</v>
      </c>
      <c r="AE82" s="45">
        <f t="shared" si="44"/>
        <v>4957</v>
      </c>
      <c r="AF82" s="45">
        <f t="shared" si="45"/>
        <v>0</v>
      </c>
      <c r="AG82" s="45"/>
      <c r="AH82" s="45"/>
      <c r="AI82" s="45"/>
      <c r="AJ82" s="14">
        <f t="shared" si="46"/>
        <v>3264129</v>
      </c>
      <c r="AK82" s="21">
        <f t="shared" si="47"/>
        <v>1.1200000000000001</v>
      </c>
      <c r="AL82" s="45">
        <f t="shared" si="57"/>
        <v>0</v>
      </c>
      <c r="AM82" s="14">
        <f t="shared" si="48"/>
        <v>0</v>
      </c>
      <c r="AN82" s="14">
        <f t="shared" si="49"/>
        <v>0</v>
      </c>
      <c r="AO82" s="14">
        <f t="shared" si="50"/>
        <v>0</v>
      </c>
      <c r="AP82" s="14"/>
      <c r="AQ82" s="14">
        <f t="shared" si="58"/>
        <v>0</v>
      </c>
      <c r="AR82" s="14">
        <f t="shared" si="59"/>
        <v>148423</v>
      </c>
      <c r="AS82" s="14">
        <f t="shared" si="60"/>
        <v>21045</v>
      </c>
      <c r="AT82" s="14">
        <f t="shared" si="61"/>
        <v>67146</v>
      </c>
      <c r="AU82" s="14">
        <f t="shared" si="51"/>
        <v>205450</v>
      </c>
      <c r="AV82" s="14">
        <f t="shared" si="52"/>
        <v>315792</v>
      </c>
      <c r="AW82" s="14">
        <f t="shared" si="53"/>
        <v>11432</v>
      </c>
      <c r="AX82" s="14">
        <f t="shared" si="54"/>
        <v>4033417</v>
      </c>
      <c r="AY82" s="14">
        <v>3886067</v>
      </c>
      <c r="AZ82" s="14">
        <f t="shared" si="55"/>
        <v>147350</v>
      </c>
      <c r="BA82" s="2"/>
      <c r="BB82" s="14">
        <v>148423</v>
      </c>
      <c r="BC82" s="14">
        <v>21045</v>
      </c>
      <c r="BD82" s="2"/>
      <c r="BE82" s="64">
        <v>121</v>
      </c>
      <c r="BF82" s="64">
        <v>1.0669999999999999</v>
      </c>
    </row>
    <row r="83" spans="1:58" ht="15" x14ac:dyDescent="0.2">
      <c r="A83" s="44" t="s">
        <v>149</v>
      </c>
      <c r="B83" s="44"/>
      <c r="C83" s="46">
        <f>SUM(C4:C82)</f>
        <v>113222</v>
      </c>
      <c r="D83" s="46">
        <f>SUM(D4:D82)</f>
        <v>15275</v>
      </c>
      <c r="E83" s="46">
        <f t="shared" ref="E83:M83" si="62">SUM(E4:E82)</f>
        <v>7110</v>
      </c>
      <c r="F83" s="46">
        <f t="shared" si="62"/>
        <v>62</v>
      </c>
      <c r="G83" s="46">
        <f t="shared" si="62"/>
        <v>3449</v>
      </c>
      <c r="H83" s="46">
        <f t="shared" si="62"/>
        <v>100</v>
      </c>
      <c r="I83" s="46">
        <f t="shared" si="62"/>
        <v>31</v>
      </c>
      <c r="J83" s="46">
        <f t="shared" si="62"/>
        <v>0</v>
      </c>
      <c r="K83" s="46">
        <f t="shared" si="62"/>
        <v>334</v>
      </c>
      <c r="L83" s="46">
        <f t="shared" si="62"/>
        <v>0</v>
      </c>
      <c r="M83" s="46">
        <f t="shared" si="62"/>
        <v>329</v>
      </c>
      <c r="N83" s="46">
        <f t="shared" ref="N83" si="63">SUM(N4:N82)</f>
        <v>1</v>
      </c>
      <c r="O83" s="46">
        <f t="shared" ref="O83" si="64">SUM(O4:O82)</f>
        <v>0</v>
      </c>
      <c r="P83" s="46">
        <f t="shared" ref="P83" si="65">SUM(P4:P82)</f>
        <v>0</v>
      </c>
      <c r="Q83" s="46">
        <f t="shared" ref="Q83" si="66">SUM(Q4:Q82)</f>
        <v>3520</v>
      </c>
      <c r="R83" s="46">
        <f t="shared" ref="R83" si="67">SUM(R4:R82)</f>
        <v>142</v>
      </c>
      <c r="S83" s="46">
        <f t="shared" ref="S83" si="68">SUM(S4:S82)</f>
        <v>1430</v>
      </c>
      <c r="T83" s="46">
        <f t="shared" ref="T83" si="69">SUM(T4:T82)</f>
        <v>4618</v>
      </c>
      <c r="U83" s="46">
        <f t="shared" ref="U83" si="70">SUM(U4:U82)</f>
        <v>145005</v>
      </c>
      <c r="V83" s="46">
        <f t="shared" ref="V83" si="71">SUM(V4:V82)</f>
        <v>17</v>
      </c>
      <c r="W83" s="46">
        <f t="shared" ref="W83" si="72">SUM(W4:W82)</f>
        <v>5</v>
      </c>
      <c r="X83" s="46">
        <f t="shared" ref="X83" si="73">SUM(X4:X82)</f>
        <v>19</v>
      </c>
      <c r="Z83" s="45">
        <v>2685</v>
      </c>
      <c r="AA83" s="46">
        <f>(SUM(AC83:AG83)+AQ83)/U83</f>
        <v>2874.8501293058862</v>
      </c>
      <c r="AB83" s="46"/>
      <c r="AC83" s="46">
        <f>SUM(AC4:AC82)</f>
        <v>302607547</v>
      </c>
      <c r="AD83" s="46">
        <f t="shared" ref="AD83:AJ83" si="74">SUM(AD4:AD82)</f>
        <v>66436608</v>
      </c>
      <c r="AE83" s="46">
        <f t="shared" si="74"/>
        <v>413871</v>
      </c>
      <c r="AF83" s="46">
        <f t="shared" si="74"/>
        <v>769927</v>
      </c>
      <c r="AG83" s="46">
        <f t="shared" si="74"/>
        <v>318623</v>
      </c>
      <c r="AH83" s="46"/>
      <c r="AI83" s="46"/>
      <c r="AJ83" s="46">
        <f t="shared" si="74"/>
        <v>370546576</v>
      </c>
      <c r="AK83" s="37"/>
      <c r="AL83" s="46">
        <f>SUM(AL4:AL82)</f>
        <v>37016715</v>
      </c>
      <c r="AM83" s="46">
        <f>SUM(AM4:AM82)</f>
        <v>681294</v>
      </c>
      <c r="AN83" s="46">
        <f t="shared" ref="AN83:AQ83" si="75">SUM(AN4:AN82)</f>
        <v>7942933</v>
      </c>
      <c r="AO83" s="46">
        <f t="shared" si="75"/>
        <v>562290</v>
      </c>
      <c r="AP83" s="46">
        <f t="shared" si="75"/>
        <v>117835</v>
      </c>
      <c r="AQ83" s="46">
        <f t="shared" si="75"/>
        <v>46321067</v>
      </c>
      <c r="AR83" s="37">
        <f t="shared" ref="AR83:BC83" si="76">SUM(AR4:AR82)</f>
        <v>15491207</v>
      </c>
      <c r="AS83" s="37">
        <f t="shared" si="76"/>
        <v>1996044</v>
      </c>
      <c r="AT83" s="37">
        <f t="shared" si="76"/>
        <v>8193556</v>
      </c>
      <c r="AU83" s="37">
        <f t="shared" si="76"/>
        <v>24351075</v>
      </c>
      <c r="AV83" s="37">
        <f t="shared" si="76"/>
        <v>26474875</v>
      </c>
      <c r="AW83" s="37">
        <f t="shared" si="76"/>
        <v>1379904</v>
      </c>
      <c r="AX83" s="37">
        <f t="shared" si="76"/>
        <v>494754304</v>
      </c>
      <c r="AY83" s="37">
        <f t="shared" si="76"/>
        <v>468302070</v>
      </c>
      <c r="AZ83" s="37">
        <f t="shared" si="76"/>
        <v>26452234</v>
      </c>
      <c r="BA83" s="2"/>
      <c r="BB83" s="37">
        <f t="shared" si="76"/>
        <v>13156858</v>
      </c>
      <c r="BC83" s="37">
        <f t="shared" si="76"/>
        <v>1810845</v>
      </c>
      <c r="BD83" s="2"/>
      <c r="BE83" s="64">
        <v>122</v>
      </c>
      <c r="BF83" s="64">
        <v>1.0660000000000001</v>
      </c>
    </row>
    <row r="84" spans="1:58" ht="15" x14ac:dyDescent="0.2">
      <c r="E84" s="43">
        <v>2</v>
      </c>
      <c r="F84" s="43">
        <v>2.7</v>
      </c>
      <c r="G84" s="43">
        <v>4</v>
      </c>
      <c r="H84" s="43">
        <f>G84</f>
        <v>4</v>
      </c>
      <c r="I84" s="43">
        <f>G84</f>
        <v>4</v>
      </c>
      <c r="J84" s="43">
        <f>H84</f>
        <v>4</v>
      </c>
      <c r="K84" s="43">
        <v>0.53</v>
      </c>
      <c r="L84" s="43"/>
      <c r="M84" s="43">
        <v>1</v>
      </c>
      <c r="N84" s="43">
        <v>0.31</v>
      </c>
      <c r="P84" s="43">
        <v>0.06</v>
      </c>
      <c r="Q84" s="43">
        <v>0.86</v>
      </c>
      <c r="R84" s="43">
        <v>0.33</v>
      </c>
      <c r="T84" s="43">
        <v>7.0000000000000007E-2</v>
      </c>
      <c r="AP84" s="49">
        <v>0.1</v>
      </c>
      <c r="AW84" t="s">
        <v>392</v>
      </c>
      <c r="AX84" s="2">
        <f>KOOND!D86</f>
        <v>494763000</v>
      </c>
      <c r="BA84" s="2"/>
      <c r="BD84" s="2"/>
      <c r="BE84" s="64">
        <v>123</v>
      </c>
      <c r="BF84" s="64">
        <v>1.0660000000000001</v>
      </c>
    </row>
    <row r="85" spans="1:58" ht="15" x14ac:dyDescent="0.2">
      <c r="E85" s="43">
        <v>1</v>
      </c>
      <c r="F85" s="43">
        <v>1.7</v>
      </c>
      <c r="G85" s="43">
        <v>4</v>
      </c>
      <c r="H85" s="43">
        <v>4</v>
      </c>
      <c r="I85" s="43">
        <v>4</v>
      </c>
      <c r="J85" s="43">
        <v>4</v>
      </c>
      <c r="V85" s="43">
        <v>0.7</v>
      </c>
      <c r="W85" s="43">
        <v>1.3</v>
      </c>
      <c r="X85" s="43">
        <v>4</v>
      </c>
      <c r="AC85" s="34"/>
      <c r="AS85" s="43"/>
      <c r="AW85" t="s">
        <v>164</v>
      </c>
      <c r="AX85" s="2">
        <f>AX84-AX83</f>
        <v>8696</v>
      </c>
      <c r="BA85" s="2"/>
      <c r="BD85" s="2"/>
      <c r="BE85" s="64">
        <v>124</v>
      </c>
      <c r="BF85" s="64">
        <v>1.0649999999999999</v>
      </c>
    </row>
    <row r="86" spans="1:58" ht="15" x14ac:dyDescent="0.2">
      <c r="E86" s="2"/>
      <c r="F86" s="2"/>
      <c r="G86" s="2"/>
      <c r="H86" s="2"/>
      <c r="I86" s="2"/>
      <c r="J86" s="2"/>
      <c r="U86" s="2"/>
      <c r="V86" s="2"/>
      <c r="W86" s="2"/>
      <c r="X86" s="2"/>
      <c r="AC86" s="41"/>
      <c r="AD86" s="2"/>
      <c r="AE86" s="2"/>
      <c r="AF86" s="2"/>
      <c r="AG86" s="2"/>
      <c r="AH86" s="2"/>
      <c r="AJ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BD86" s="2"/>
      <c r="BE86" s="64">
        <v>125</v>
      </c>
      <c r="BF86" s="64">
        <v>1.0649999999999999</v>
      </c>
    </row>
    <row r="87" spans="1:58" ht="24" x14ac:dyDescent="0.2">
      <c r="B87" s="47" t="s">
        <v>237</v>
      </c>
      <c r="D87" s="2"/>
      <c r="E87" s="167" t="s">
        <v>191</v>
      </c>
      <c r="F87" s="166">
        <v>2023</v>
      </c>
      <c r="G87" s="166">
        <v>2024</v>
      </c>
      <c r="H87" s="166" t="s">
        <v>466</v>
      </c>
      <c r="U87" s="15"/>
      <c r="V87" s="2"/>
      <c r="W87" s="2"/>
      <c r="X87" s="2"/>
      <c r="AC87" s="15"/>
      <c r="AD87" s="15"/>
      <c r="AE87" s="15"/>
      <c r="AF87" s="15"/>
      <c r="AG87" s="15"/>
      <c r="AH87" s="15"/>
      <c r="AJ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BD87" s="2"/>
      <c r="BE87" s="64">
        <v>126</v>
      </c>
      <c r="BF87" s="64">
        <v>1.0640000000000001</v>
      </c>
    </row>
    <row r="88" spans="1:58" ht="15" x14ac:dyDescent="0.2">
      <c r="B88" t="s">
        <v>232</v>
      </c>
      <c r="C88" s="110">
        <f>ROUND(1820*1.2*12*1.338/15,0)</f>
        <v>2338</v>
      </c>
      <c r="D88" s="109"/>
      <c r="E88" t="s">
        <v>486</v>
      </c>
      <c r="F88">
        <f>1749*1.171</f>
        <v>2048.0790000000002</v>
      </c>
      <c r="G88">
        <f>1820*1.2</f>
        <v>2184</v>
      </c>
      <c r="H88" s="165">
        <f>G88/F88-1</f>
        <v>6.6365115798755703E-2</v>
      </c>
      <c r="U88" s="2"/>
      <c r="AC88" s="26"/>
      <c r="AD88" s="55"/>
      <c r="AT88" s="2"/>
      <c r="BD88" s="2"/>
      <c r="BE88" s="64">
        <v>127</v>
      </c>
      <c r="BF88" s="64">
        <v>1.0640000000000001</v>
      </c>
    </row>
    <row r="89" spans="1:58" ht="15" x14ac:dyDescent="0.2">
      <c r="B89" t="s">
        <v>233</v>
      </c>
      <c r="C89" s="43">
        <v>92</v>
      </c>
      <c r="E89" t="s">
        <v>487</v>
      </c>
      <c r="F89">
        <v>1749</v>
      </c>
      <c r="G89">
        <v>1820</v>
      </c>
      <c r="H89" s="165">
        <f>G89/F89-1</f>
        <v>4.0594625500285808E-2</v>
      </c>
      <c r="AC89" s="26"/>
      <c r="BD89" s="2"/>
      <c r="BE89" s="64">
        <v>128</v>
      </c>
      <c r="BF89" s="64">
        <v>1.0629999999999999</v>
      </c>
    </row>
    <row r="90" spans="1:58" ht="15" x14ac:dyDescent="0.2">
      <c r="B90" t="s">
        <v>234</v>
      </c>
      <c r="C90" s="43">
        <v>12</v>
      </c>
      <c r="H90" s="165"/>
      <c r="BD90" s="2"/>
      <c r="BE90" s="64">
        <v>129</v>
      </c>
      <c r="BF90" s="64">
        <v>1.0629999999999999</v>
      </c>
    </row>
    <row r="91" spans="1:58" ht="15" x14ac:dyDescent="0.2">
      <c r="B91" t="s">
        <v>235</v>
      </c>
      <c r="C91" s="43">
        <v>57</v>
      </c>
      <c r="BD91" s="2"/>
      <c r="BE91" s="64">
        <v>130</v>
      </c>
      <c r="BF91" s="64">
        <v>1.0620000000000001</v>
      </c>
    </row>
    <row r="92" spans="1:58" ht="15" x14ac:dyDescent="0.2">
      <c r="B92" t="s">
        <v>236</v>
      </c>
      <c r="C92" s="43">
        <v>175</v>
      </c>
      <c r="BD92" s="2"/>
      <c r="BE92" s="64">
        <v>131</v>
      </c>
      <c r="BF92" s="64">
        <v>1.0620000000000001</v>
      </c>
    </row>
    <row r="93" spans="1:58" ht="15" x14ac:dyDescent="0.2">
      <c r="B93" t="s">
        <v>238</v>
      </c>
      <c r="C93" s="43">
        <f>102*12</f>
        <v>1224</v>
      </c>
      <c r="BD93" s="2"/>
      <c r="BE93" s="64">
        <v>132</v>
      </c>
      <c r="BF93" s="64">
        <v>1.0609999999999999</v>
      </c>
    </row>
    <row r="94" spans="1:58" ht="15" x14ac:dyDescent="0.2">
      <c r="B94" t="s">
        <v>351</v>
      </c>
      <c r="C94" s="77">
        <v>9.7042099999999998</v>
      </c>
      <c r="D94" s="56"/>
      <c r="E94" s="2"/>
      <c r="BE94" s="64">
        <v>133</v>
      </c>
      <c r="BF94" s="64">
        <v>1.0609999999999999</v>
      </c>
    </row>
    <row r="95" spans="1:58" ht="15" x14ac:dyDescent="0.2">
      <c r="C95" s="18">
        <f>ROUND(ROUND(1820*1.2,0)*12*1.338,0)</f>
        <v>35066</v>
      </c>
      <c r="BE95" s="64">
        <v>134</v>
      </c>
      <c r="BF95" s="64">
        <v>1.06</v>
      </c>
    </row>
    <row r="96" spans="1:58" ht="15" x14ac:dyDescent="0.2">
      <c r="BE96" s="64">
        <v>135</v>
      </c>
      <c r="BF96" s="64">
        <v>1.06</v>
      </c>
    </row>
    <row r="97" spans="2:58" ht="15" x14ac:dyDescent="0.2">
      <c r="B97" t="s">
        <v>301</v>
      </c>
      <c r="C97" s="2">
        <f>AJ83+AQ83</f>
        <v>416867643</v>
      </c>
      <c r="BE97" s="64">
        <v>136</v>
      </c>
      <c r="BF97" s="64">
        <v>1.0589999999999999</v>
      </c>
    </row>
    <row r="98" spans="2:58" ht="15" x14ac:dyDescent="0.2">
      <c r="B98" t="s">
        <v>302</v>
      </c>
      <c r="C98" s="2">
        <f>AR83</f>
        <v>15491207</v>
      </c>
      <c r="BE98" s="64">
        <v>137</v>
      </c>
      <c r="BF98" s="64">
        <v>1.0589999999999999</v>
      </c>
    </row>
    <row r="99" spans="2:58" ht="15" x14ac:dyDescent="0.2">
      <c r="B99" t="s">
        <v>269</v>
      </c>
      <c r="C99" s="2">
        <f>AS83</f>
        <v>1996044</v>
      </c>
      <c r="BE99" s="64">
        <v>138</v>
      </c>
      <c r="BF99" s="64">
        <v>1.0580000000000001</v>
      </c>
    </row>
    <row r="100" spans="2:58" ht="15" x14ac:dyDescent="0.2">
      <c r="B100" t="s">
        <v>303</v>
      </c>
      <c r="C100" s="2">
        <f>AT83</f>
        <v>8193556</v>
      </c>
      <c r="BE100" s="64">
        <v>139</v>
      </c>
      <c r="BF100" s="64">
        <v>1.0580000000000001</v>
      </c>
    </row>
    <row r="101" spans="2:58" ht="15" x14ac:dyDescent="0.2">
      <c r="B101" t="s">
        <v>236</v>
      </c>
      <c r="C101" s="2">
        <f>AU83</f>
        <v>24351075</v>
      </c>
      <c r="BE101" s="64">
        <v>140</v>
      </c>
      <c r="BF101" s="64">
        <v>1.0569999999999999</v>
      </c>
    </row>
    <row r="102" spans="2:58" ht="15" x14ac:dyDescent="0.2">
      <c r="B102" t="s">
        <v>304</v>
      </c>
      <c r="C102" s="2">
        <f>AV83</f>
        <v>26474875</v>
      </c>
      <c r="BE102" s="64">
        <v>141</v>
      </c>
      <c r="BF102" s="64">
        <v>1.0569999999999999</v>
      </c>
    </row>
    <row r="103" spans="2:58" ht="15" x14ac:dyDescent="0.2">
      <c r="B103" t="s">
        <v>351</v>
      </c>
      <c r="C103" s="2">
        <f>AW83</f>
        <v>1379904</v>
      </c>
      <c r="BE103" s="64">
        <v>142</v>
      </c>
      <c r="BF103" s="64">
        <v>1.056</v>
      </c>
    </row>
    <row r="104" spans="2:58" ht="15" x14ac:dyDescent="0.2">
      <c r="C104" s="2">
        <f>SUM(C97:C103)</f>
        <v>494754304</v>
      </c>
      <c r="BE104" s="64">
        <v>143</v>
      </c>
      <c r="BF104" s="64">
        <v>1.056</v>
      </c>
    </row>
    <row r="105" spans="2:58" ht="15" x14ac:dyDescent="0.2">
      <c r="BE105" s="64">
        <v>144</v>
      </c>
      <c r="BF105" s="64">
        <v>1.056</v>
      </c>
    </row>
    <row r="106" spans="2:58" ht="15" x14ac:dyDescent="0.2">
      <c r="BE106" s="64">
        <v>145</v>
      </c>
      <c r="BF106" s="64">
        <v>1.0549999999999999</v>
      </c>
    </row>
    <row r="107" spans="2:58" ht="15" x14ac:dyDescent="0.2">
      <c r="BE107" s="64">
        <v>146</v>
      </c>
      <c r="BF107" s="64">
        <v>1.0549999999999999</v>
      </c>
    </row>
    <row r="108" spans="2:58" ht="15" x14ac:dyDescent="0.2">
      <c r="BE108" s="64">
        <v>147</v>
      </c>
      <c r="BF108" s="64">
        <v>1.054</v>
      </c>
    </row>
    <row r="109" spans="2:58" ht="15" x14ac:dyDescent="0.2">
      <c r="BE109" s="64">
        <v>148</v>
      </c>
      <c r="BF109" s="64">
        <v>1.054</v>
      </c>
    </row>
    <row r="110" spans="2:58" ht="15" x14ac:dyDescent="0.2">
      <c r="BE110" s="64">
        <v>149</v>
      </c>
      <c r="BF110" s="64">
        <v>1.0529999999999999</v>
      </c>
    </row>
    <row r="111" spans="2:58" ht="15" x14ac:dyDescent="0.2">
      <c r="BE111" s="64">
        <v>150</v>
      </c>
      <c r="BF111" s="64">
        <v>1.0529999999999999</v>
      </c>
    </row>
    <row r="112" spans="2:58" ht="15" x14ac:dyDescent="0.2">
      <c r="BE112" s="64">
        <v>151</v>
      </c>
      <c r="BF112" s="64">
        <v>1.052</v>
      </c>
    </row>
    <row r="113" spans="57:58" ht="15" x14ac:dyDescent="0.2">
      <c r="BE113" s="64">
        <v>152</v>
      </c>
      <c r="BF113" s="64">
        <v>1.052</v>
      </c>
    </row>
    <row r="114" spans="57:58" ht="15" x14ac:dyDescent="0.2">
      <c r="BE114" s="64">
        <v>153</v>
      </c>
      <c r="BF114" s="64">
        <v>1.0509999999999999</v>
      </c>
    </row>
    <row r="115" spans="57:58" ht="15" x14ac:dyDescent="0.2">
      <c r="BE115" s="64">
        <v>154</v>
      </c>
      <c r="BF115" s="64">
        <v>1.0509999999999999</v>
      </c>
    </row>
    <row r="116" spans="57:58" ht="15" x14ac:dyDescent="0.2">
      <c r="BE116" s="64">
        <v>155</v>
      </c>
      <c r="BF116" s="64">
        <v>1.05</v>
      </c>
    </row>
    <row r="117" spans="57:58" ht="15" x14ac:dyDescent="0.2">
      <c r="BE117" s="64">
        <v>156</v>
      </c>
      <c r="BF117" s="64">
        <v>1.05</v>
      </c>
    </row>
    <row r="118" spans="57:58" ht="15" x14ac:dyDescent="0.2">
      <c r="BE118" s="64">
        <v>157</v>
      </c>
      <c r="BF118" s="64">
        <v>1.0489999999999999</v>
      </c>
    </row>
    <row r="119" spans="57:58" ht="15" x14ac:dyDescent="0.2">
      <c r="BE119" s="64">
        <v>158</v>
      </c>
      <c r="BF119" s="64">
        <v>1.0489999999999999</v>
      </c>
    </row>
    <row r="120" spans="57:58" ht="15" x14ac:dyDescent="0.2">
      <c r="BE120" s="64">
        <v>159</v>
      </c>
      <c r="BF120" s="64">
        <v>1.048</v>
      </c>
    </row>
    <row r="121" spans="57:58" ht="15" x14ac:dyDescent="0.2">
      <c r="BE121" s="64">
        <v>160</v>
      </c>
      <c r="BF121" s="64">
        <v>1.048</v>
      </c>
    </row>
    <row r="122" spans="57:58" ht="15" x14ac:dyDescent="0.2">
      <c r="BE122" s="64">
        <v>161</v>
      </c>
      <c r="BF122" s="64">
        <v>1.0469999999999999</v>
      </c>
    </row>
    <row r="123" spans="57:58" ht="15" x14ac:dyDescent="0.2">
      <c r="BE123" s="64">
        <v>162</v>
      </c>
      <c r="BF123" s="64">
        <v>1.0469999999999999</v>
      </c>
    </row>
    <row r="124" spans="57:58" ht="15" x14ac:dyDescent="0.2">
      <c r="BE124" s="64">
        <v>163</v>
      </c>
      <c r="BF124" s="64">
        <v>1.046</v>
      </c>
    </row>
    <row r="125" spans="57:58" ht="15" x14ac:dyDescent="0.2">
      <c r="BE125" s="64">
        <v>164</v>
      </c>
      <c r="BF125" s="64">
        <v>1.046</v>
      </c>
    </row>
    <row r="126" spans="57:58" ht="15" x14ac:dyDescent="0.2">
      <c r="BE126" s="64">
        <v>165</v>
      </c>
      <c r="BF126" s="64">
        <v>1.0449999999999999</v>
      </c>
    </row>
    <row r="127" spans="57:58" ht="15" x14ac:dyDescent="0.2">
      <c r="BE127" s="64">
        <v>166</v>
      </c>
      <c r="BF127" s="64">
        <v>1.0449999999999999</v>
      </c>
    </row>
    <row r="128" spans="57:58" ht="15" x14ac:dyDescent="0.2">
      <c r="BE128" s="64">
        <v>167</v>
      </c>
      <c r="BF128" s="64">
        <v>1.0449999999999999</v>
      </c>
    </row>
    <row r="129" spans="57:58" ht="15" x14ac:dyDescent="0.2">
      <c r="BE129" s="64">
        <v>168</v>
      </c>
      <c r="BF129" s="64">
        <v>1.044</v>
      </c>
    </row>
    <row r="130" spans="57:58" ht="15" x14ac:dyDescent="0.2">
      <c r="BE130" s="64">
        <v>169</v>
      </c>
      <c r="BF130" s="64">
        <v>1.044</v>
      </c>
    </row>
    <row r="131" spans="57:58" ht="15" x14ac:dyDescent="0.2">
      <c r="BE131" s="64">
        <v>170</v>
      </c>
      <c r="BF131" s="64">
        <v>1.0429999999999999</v>
      </c>
    </row>
    <row r="132" spans="57:58" ht="15" x14ac:dyDescent="0.2">
      <c r="BE132" s="64">
        <v>171</v>
      </c>
      <c r="BF132" s="64">
        <v>1.0429999999999999</v>
      </c>
    </row>
    <row r="133" spans="57:58" ht="15" x14ac:dyDescent="0.2">
      <c r="BE133" s="64">
        <v>172</v>
      </c>
      <c r="BF133" s="64">
        <v>1.042</v>
      </c>
    </row>
    <row r="134" spans="57:58" ht="15" x14ac:dyDescent="0.2">
      <c r="BE134" s="64">
        <v>173</v>
      </c>
      <c r="BF134" s="64">
        <v>1.042</v>
      </c>
    </row>
    <row r="135" spans="57:58" ht="15" x14ac:dyDescent="0.2">
      <c r="BE135" s="64">
        <v>174</v>
      </c>
      <c r="BF135" s="64">
        <v>1.0409999999999999</v>
      </c>
    </row>
    <row r="136" spans="57:58" ht="15" x14ac:dyDescent="0.2">
      <c r="BE136" s="64">
        <v>175</v>
      </c>
      <c r="BF136" s="64">
        <v>1.0409999999999999</v>
      </c>
    </row>
    <row r="137" spans="57:58" ht="15" x14ac:dyDescent="0.2">
      <c r="BE137" s="64">
        <v>176</v>
      </c>
      <c r="BF137" s="64">
        <v>1.04</v>
      </c>
    </row>
    <row r="138" spans="57:58" ht="15" x14ac:dyDescent="0.2">
      <c r="BE138" s="64">
        <v>177</v>
      </c>
      <c r="BF138" s="64">
        <v>1.04</v>
      </c>
    </row>
    <row r="139" spans="57:58" ht="15" x14ac:dyDescent="0.2">
      <c r="BE139" s="64">
        <v>178</v>
      </c>
      <c r="BF139" s="64">
        <v>1.0389999999999999</v>
      </c>
    </row>
    <row r="140" spans="57:58" ht="15" x14ac:dyDescent="0.2">
      <c r="BE140" s="64">
        <v>179</v>
      </c>
      <c r="BF140" s="64">
        <v>1.0389999999999999</v>
      </c>
    </row>
    <row r="141" spans="57:58" ht="15" x14ac:dyDescent="0.2">
      <c r="BE141" s="64">
        <v>180</v>
      </c>
      <c r="BF141" s="64">
        <v>1.038</v>
      </c>
    </row>
    <row r="142" spans="57:58" ht="15" x14ac:dyDescent="0.2">
      <c r="BE142" s="64">
        <v>181</v>
      </c>
      <c r="BF142" s="64">
        <v>1.038</v>
      </c>
    </row>
    <row r="143" spans="57:58" ht="15" x14ac:dyDescent="0.2">
      <c r="BE143" s="64">
        <v>182</v>
      </c>
      <c r="BF143" s="64">
        <v>1.0369999999999999</v>
      </c>
    </row>
    <row r="144" spans="57:58" ht="15" x14ac:dyDescent="0.2">
      <c r="BE144" s="64">
        <v>183</v>
      </c>
      <c r="BF144" s="64">
        <v>1.0369999999999999</v>
      </c>
    </row>
    <row r="145" spans="57:58" ht="15" x14ac:dyDescent="0.2">
      <c r="BE145" s="64">
        <v>184</v>
      </c>
      <c r="BF145" s="64">
        <v>1.036</v>
      </c>
    </row>
    <row r="146" spans="57:58" ht="15" x14ac:dyDescent="0.2">
      <c r="BE146" s="64">
        <v>185</v>
      </c>
      <c r="BF146" s="64">
        <v>1.036</v>
      </c>
    </row>
    <row r="147" spans="57:58" ht="15" x14ac:dyDescent="0.2">
      <c r="BE147" s="64">
        <v>186</v>
      </c>
      <c r="BF147" s="64">
        <v>1.0349999999999999</v>
      </c>
    </row>
    <row r="148" spans="57:58" ht="15" x14ac:dyDescent="0.2">
      <c r="BE148" s="64">
        <v>187</v>
      </c>
      <c r="BF148" s="64">
        <v>1.0349999999999999</v>
      </c>
    </row>
    <row r="149" spans="57:58" ht="15" x14ac:dyDescent="0.2">
      <c r="BE149" s="64">
        <v>188</v>
      </c>
      <c r="BF149" s="64">
        <v>1.034</v>
      </c>
    </row>
    <row r="150" spans="57:58" ht="15" x14ac:dyDescent="0.2">
      <c r="BE150" s="64">
        <v>189</v>
      </c>
      <c r="BF150" s="64">
        <v>1.034</v>
      </c>
    </row>
    <row r="151" spans="57:58" ht="15" x14ac:dyDescent="0.2">
      <c r="BE151" s="64">
        <v>190</v>
      </c>
      <c r="BF151" s="64">
        <v>1.034</v>
      </c>
    </row>
    <row r="152" spans="57:58" ht="15" x14ac:dyDescent="0.2">
      <c r="BE152" s="64">
        <v>191</v>
      </c>
      <c r="BF152" s="64">
        <v>1.0329999999999999</v>
      </c>
    </row>
    <row r="153" spans="57:58" ht="15" x14ac:dyDescent="0.2">
      <c r="BE153" s="64">
        <v>192</v>
      </c>
      <c r="BF153" s="64">
        <v>1.0329999999999999</v>
      </c>
    </row>
    <row r="154" spans="57:58" ht="15" x14ac:dyDescent="0.2">
      <c r="BE154" s="64">
        <v>193</v>
      </c>
      <c r="BF154" s="64">
        <v>1.032</v>
      </c>
    </row>
    <row r="155" spans="57:58" ht="15" x14ac:dyDescent="0.2">
      <c r="BE155" s="64">
        <v>194</v>
      </c>
      <c r="BF155" s="64">
        <v>1.032</v>
      </c>
    </row>
    <row r="156" spans="57:58" ht="15" x14ac:dyDescent="0.2">
      <c r="BE156" s="64">
        <v>195</v>
      </c>
      <c r="BF156" s="64">
        <v>1.0309999999999999</v>
      </c>
    </row>
    <row r="157" spans="57:58" ht="15" x14ac:dyDescent="0.2">
      <c r="BE157" s="64">
        <v>196</v>
      </c>
      <c r="BF157" s="64">
        <v>1.0309999999999999</v>
      </c>
    </row>
    <row r="158" spans="57:58" ht="15" x14ac:dyDescent="0.2">
      <c r="BE158" s="64">
        <v>197</v>
      </c>
      <c r="BF158" s="64">
        <v>1.03</v>
      </c>
    </row>
    <row r="159" spans="57:58" ht="15" x14ac:dyDescent="0.2">
      <c r="BE159" s="64">
        <v>198</v>
      </c>
      <c r="BF159" s="64">
        <v>1.03</v>
      </c>
    </row>
    <row r="160" spans="57:58" ht="15" x14ac:dyDescent="0.2">
      <c r="BE160" s="64">
        <v>199</v>
      </c>
      <c r="BF160" s="64">
        <v>1.0289999999999999</v>
      </c>
    </row>
    <row r="161" spans="57:58" ht="15" x14ac:dyDescent="0.2">
      <c r="BE161" s="64">
        <v>200</v>
      </c>
      <c r="BF161" s="64">
        <v>1.0289999999999999</v>
      </c>
    </row>
    <row r="162" spans="57:58" ht="15" x14ac:dyDescent="0.2">
      <c r="BE162" s="64">
        <v>201</v>
      </c>
      <c r="BF162" s="64">
        <v>1.028</v>
      </c>
    </row>
    <row r="163" spans="57:58" ht="15" x14ac:dyDescent="0.2">
      <c r="BE163" s="64">
        <v>202</v>
      </c>
      <c r="BF163" s="64">
        <v>1.028</v>
      </c>
    </row>
    <row r="164" spans="57:58" ht="15" x14ac:dyDescent="0.2">
      <c r="BE164" s="64">
        <v>203</v>
      </c>
      <c r="BF164" s="64">
        <v>1.0269999999999999</v>
      </c>
    </row>
    <row r="165" spans="57:58" ht="15" x14ac:dyDescent="0.2">
      <c r="BE165" s="64">
        <v>204</v>
      </c>
      <c r="BF165" s="64">
        <v>1.0269999999999999</v>
      </c>
    </row>
    <row r="166" spans="57:58" ht="15" x14ac:dyDescent="0.2">
      <c r="BE166" s="64">
        <v>205</v>
      </c>
      <c r="BF166" s="64">
        <v>1.026</v>
      </c>
    </row>
    <row r="167" spans="57:58" ht="15" x14ac:dyDescent="0.2">
      <c r="BE167" s="64">
        <v>206</v>
      </c>
      <c r="BF167" s="64">
        <v>1.026</v>
      </c>
    </row>
    <row r="168" spans="57:58" ht="15" x14ac:dyDescent="0.2">
      <c r="BE168" s="64">
        <v>207</v>
      </c>
      <c r="BF168" s="64">
        <v>1.0249999999999999</v>
      </c>
    </row>
    <row r="169" spans="57:58" ht="15" x14ac:dyDescent="0.2">
      <c r="BE169" s="64">
        <v>208</v>
      </c>
      <c r="BF169" s="64">
        <v>1.0249999999999999</v>
      </c>
    </row>
    <row r="170" spans="57:58" ht="15" x14ac:dyDescent="0.2">
      <c r="BE170" s="64">
        <v>209</v>
      </c>
      <c r="BF170" s="64">
        <v>1.024</v>
      </c>
    </row>
    <row r="171" spans="57:58" ht="15" x14ac:dyDescent="0.2">
      <c r="BE171" s="64">
        <v>210</v>
      </c>
      <c r="BF171" s="64">
        <v>1.024</v>
      </c>
    </row>
    <row r="172" spans="57:58" ht="15" x14ac:dyDescent="0.2">
      <c r="BE172" s="64">
        <v>211</v>
      </c>
      <c r="BF172" s="64">
        <v>1.0229999999999999</v>
      </c>
    </row>
    <row r="173" spans="57:58" ht="15" x14ac:dyDescent="0.2">
      <c r="BE173" s="64">
        <v>212</v>
      </c>
      <c r="BF173" s="64">
        <v>1.0229999999999999</v>
      </c>
    </row>
    <row r="174" spans="57:58" ht="15" x14ac:dyDescent="0.2">
      <c r="BE174" s="64">
        <v>213</v>
      </c>
      <c r="BF174" s="64">
        <v>1.0229999999999999</v>
      </c>
    </row>
    <row r="175" spans="57:58" ht="15" x14ac:dyDescent="0.2">
      <c r="BE175" s="64">
        <v>214</v>
      </c>
      <c r="BF175" s="64">
        <v>1.022</v>
      </c>
    </row>
    <row r="176" spans="57:58" ht="15" x14ac:dyDescent="0.2">
      <c r="BE176" s="64">
        <v>215</v>
      </c>
      <c r="BF176" s="64">
        <v>1.022</v>
      </c>
    </row>
    <row r="177" spans="57:58" ht="15" x14ac:dyDescent="0.2">
      <c r="BE177" s="64">
        <v>216</v>
      </c>
      <c r="BF177" s="64">
        <v>1.0209999999999999</v>
      </c>
    </row>
    <row r="178" spans="57:58" ht="15" x14ac:dyDescent="0.2">
      <c r="BE178" s="64">
        <v>217</v>
      </c>
      <c r="BF178" s="64">
        <v>1.0209999999999999</v>
      </c>
    </row>
    <row r="179" spans="57:58" ht="15" x14ac:dyDescent="0.2">
      <c r="BE179" s="64">
        <v>218</v>
      </c>
      <c r="BF179" s="64">
        <v>1.02</v>
      </c>
    </row>
    <row r="180" spans="57:58" ht="15" x14ac:dyDescent="0.2">
      <c r="BE180" s="64">
        <v>219</v>
      </c>
      <c r="BF180" s="64">
        <v>1.02</v>
      </c>
    </row>
    <row r="181" spans="57:58" ht="15" x14ac:dyDescent="0.2">
      <c r="BE181" s="64">
        <v>220</v>
      </c>
      <c r="BF181" s="64">
        <v>1.0189999999999999</v>
      </c>
    </row>
    <row r="182" spans="57:58" ht="15" x14ac:dyDescent="0.2">
      <c r="BE182" s="64">
        <v>221</v>
      </c>
      <c r="BF182" s="64">
        <v>1.0189999999999999</v>
      </c>
    </row>
    <row r="183" spans="57:58" ht="15" x14ac:dyDescent="0.2">
      <c r="BE183" s="64">
        <v>222</v>
      </c>
      <c r="BF183" s="64">
        <v>1.018</v>
      </c>
    </row>
    <row r="184" spans="57:58" ht="15" x14ac:dyDescent="0.2">
      <c r="BE184" s="64">
        <v>223</v>
      </c>
      <c r="BF184" s="64">
        <v>1.018</v>
      </c>
    </row>
    <row r="185" spans="57:58" ht="15" x14ac:dyDescent="0.2">
      <c r="BE185" s="64">
        <v>224</v>
      </c>
      <c r="BF185" s="64">
        <v>1.0169999999999999</v>
      </c>
    </row>
    <row r="186" spans="57:58" ht="15" x14ac:dyDescent="0.2">
      <c r="BE186" s="64">
        <v>225</v>
      </c>
      <c r="BF186" s="64">
        <v>1.0169999999999999</v>
      </c>
    </row>
    <row r="187" spans="57:58" ht="15" x14ac:dyDescent="0.2">
      <c r="BE187" s="64">
        <v>226</v>
      </c>
      <c r="BF187" s="64">
        <v>1.016</v>
      </c>
    </row>
    <row r="188" spans="57:58" ht="15" x14ac:dyDescent="0.2">
      <c r="BE188" s="64">
        <v>227</v>
      </c>
      <c r="BF188" s="64">
        <v>1.016</v>
      </c>
    </row>
    <row r="189" spans="57:58" ht="15" x14ac:dyDescent="0.2">
      <c r="BE189" s="64">
        <v>228</v>
      </c>
      <c r="BF189" s="64">
        <v>1.0149999999999999</v>
      </c>
    </row>
    <row r="190" spans="57:58" ht="15" x14ac:dyDescent="0.2">
      <c r="BE190" s="64">
        <v>229</v>
      </c>
      <c r="BF190" s="64">
        <v>1.0149999999999999</v>
      </c>
    </row>
    <row r="191" spans="57:58" ht="15" x14ac:dyDescent="0.2">
      <c r="BE191" s="64">
        <v>230</v>
      </c>
      <c r="BF191" s="64">
        <v>1.014</v>
      </c>
    </row>
    <row r="192" spans="57:58" ht="15" x14ac:dyDescent="0.2">
      <c r="BE192" s="64">
        <v>231</v>
      </c>
      <c r="BF192" s="64">
        <v>1.014</v>
      </c>
    </row>
    <row r="193" spans="57:58" ht="15" x14ac:dyDescent="0.2">
      <c r="BE193" s="64">
        <v>232</v>
      </c>
      <c r="BF193" s="64">
        <v>1.0129999999999999</v>
      </c>
    </row>
    <row r="194" spans="57:58" ht="15" x14ac:dyDescent="0.2">
      <c r="BE194" s="64">
        <v>233</v>
      </c>
      <c r="BF194" s="64">
        <v>1.0129999999999999</v>
      </c>
    </row>
    <row r="195" spans="57:58" ht="15" x14ac:dyDescent="0.2">
      <c r="BE195" s="64">
        <v>234</v>
      </c>
      <c r="BF195" s="64">
        <v>1.012</v>
      </c>
    </row>
    <row r="196" spans="57:58" ht="15" x14ac:dyDescent="0.2">
      <c r="BE196" s="64">
        <v>235</v>
      </c>
      <c r="BF196" s="64">
        <v>1.012</v>
      </c>
    </row>
    <row r="197" spans="57:58" ht="15" x14ac:dyDescent="0.2">
      <c r="BE197" s="64">
        <v>236</v>
      </c>
      <c r="BF197" s="64">
        <v>1.012</v>
      </c>
    </row>
    <row r="198" spans="57:58" ht="15" x14ac:dyDescent="0.2">
      <c r="BE198" s="64">
        <v>237</v>
      </c>
      <c r="BF198" s="64">
        <v>1.0109999999999999</v>
      </c>
    </row>
    <row r="199" spans="57:58" ht="15" x14ac:dyDescent="0.2">
      <c r="BE199" s="64">
        <v>238</v>
      </c>
      <c r="BF199" s="64">
        <v>1.0109999999999999</v>
      </c>
    </row>
    <row r="200" spans="57:58" ht="15" x14ac:dyDescent="0.2">
      <c r="BE200" s="64">
        <v>239</v>
      </c>
      <c r="BF200" s="64">
        <v>1.01</v>
      </c>
    </row>
    <row r="201" spans="57:58" ht="15" x14ac:dyDescent="0.2">
      <c r="BE201" s="64">
        <v>240</v>
      </c>
      <c r="BF201" s="64">
        <v>1.01</v>
      </c>
    </row>
    <row r="202" spans="57:58" ht="15" x14ac:dyDescent="0.2">
      <c r="BE202" s="64">
        <v>241</v>
      </c>
      <c r="BF202" s="64">
        <v>1.0089999999999999</v>
      </c>
    </row>
    <row r="203" spans="57:58" ht="15" x14ac:dyDescent="0.2">
      <c r="BE203" s="64">
        <v>242</v>
      </c>
      <c r="BF203" s="64">
        <v>1.0089999999999999</v>
      </c>
    </row>
    <row r="204" spans="57:58" ht="15" x14ac:dyDescent="0.2">
      <c r="BE204" s="64">
        <v>243</v>
      </c>
      <c r="BF204" s="64">
        <v>1.008</v>
      </c>
    </row>
    <row r="205" spans="57:58" ht="15" x14ac:dyDescent="0.2">
      <c r="BE205" s="64">
        <v>244</v>
      </c>
      <c r="BF205" s="64">
        <v>1.008</v>
      </c>
    </row>
    <row r="206" spans="57:58" ht="15" x14ac:dyDescent="0.2">
      <c r="BE206" s="64">
        <v>245</v>
      </c>
      <c r="BF206" s="64">
        <v>1.0069999999999999</v>
      </c>
    </row>
    <row r="207" spans="57:58" ht="15" x14ac:dyDescent="0.2">
      <c r="BE207" s="64">
        <v>246</v>
      </c>
      <c r="BF207" s="64">
        <v>1.0069999999999999</v>
      </c>
    </row>
    <row r="208" spans="57:58" ht="15" x14ac:dyDescent="0.2">
      <c r="BE208" s="64">
        <v>247</v>
      </c>
      <c r="BF208" s="64">
        <v>1.006</v>
      </c>
    </row>
    <row r="209" spans="57:58" ht="15" x14ac:dyDescent="0.2">
      <c r="BE209" s="64">
        <v>248</v>
      </c>
      <c r="BF209" s="64">
        <v>1.006</v>
      </c>
    </row>
    <row r="210" spans="57:58" ht="15" x14ac:dyDescent="0.2">
      <c r="BE210" s="64">
        <v>249</v>
      </c>
      <c r="BF210" s="64">
        <v>1.0049999999999999</v>
      </c>
    </row>
    <row r="211" spans="57:58" ht="15" x14ac:dyDescent="0.2">
      <c r="BE211" s="64">
        <v>250</v>
      </c>
      <c r="BF211" s="64">
        <v>1.0049999999999999</v>
      </c>
    </row>
  </sheetData>
  <mergeCells count="41">
    <mergeCell ref="BC1:BC3"/>
    <mergeCell ref="AY1:AY3"/>
    <mergeCell ref="AP2:AP3"/>
    <mergeCell ref="AX1:AX3"/>
    <mergeCell ref="AN2:AN3"/>
    <mergeCell ref="AQ2:AQ3"/>
    <mergeCell ref="AV1:AV3"/>
    <mergeCell ref="AT1:AT3"/>
    <mergeCell ref="AW1:AW3"/>
    <mergeCell ref="AZ1:AZ3"/>
    <mergeCell ref="BB1:BB3"/>
    <mergeCell ref="AK1:AQ1"/>
    <mergeCell ref="AO2:AO3"/>
    <mergeCell ref="AM2:AM3"/>
    <mergeCell ref="AK2:AL2"/>
    <mergeCell ref="AU1:AU3"/>
    <mergeCell ref="A1:A3"/>
    <mergeCell ref="B1:B3"/>
    <mergeCell ref="C2:D2"/>
    <mergeCell ref="E2:F2"/>
    <mergeCell ref="AD2:AD3"/>
    <mergeCell ref="V2:X2"/>
    <mergeCell ref="C1:X1"/>
    <mergeCell ref="Y1:Y3"/>
    <mergeCell ref="Q2:T2"/>
    <mergeCell ref="M2:P2"/>
    <mergeCell ref="AB1:AJ1"/>
    <mergeCell ref="AB2:AC2"/>
    <mergeCell ref="G2:J2"/>
    <mergeCell ref="AF2:AF3"/>
    <mergeCell ref="K2:L2"/>
    <mergeCell ref="AE2:AE3"/>
    <mergeCell ref="U2:U3"/>
    <mergeCell ref="Z2:Z3"/>
    <mergeCell ref="AA2:AA3"/>
    <mergeCell ref="AS1:AS3"/>
    <mergeCell ref="AR1:AR3"/>
    <mergeCell ref="AH2:AH3"/>
    <mergeCell ref="AI2:AI3"/>
    <mergeCell ref="AJ2:AJ3"/>
    <mergeCell ref="AG2:AG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D858-8F7E-4204-879B-38605182077F}">
  <dimension ref="A1:BM131"/>
  <sheetViews>
    <sheetView zoomScale="120" zoomScaleNormal="120" workbookViewId="0">
      <pane xSplit="3" ySplit="3" topLeftCell="AS80" activePane="bottomRight" state="frozen"/>
      <selection pane="topRight" activeCell="D1" sqref="D1"/>
      <selection pane="bottomLeft" activeCell="A4" sqref="A4"/>
      <selection pane="bottomRight" activeCell="AS92" sqref="AS92"/>
    </sheetView>
  </sheetViews>
  <sheetFormatPr defaultColWidth="8.7109375" defaultRowHeight="12.75" x14ac:dyDescent="0.2"/>
  <cols>
    <col min="1" max="1" width="8.7109375" style="1"/>
    <col min="2" max="2" width="21.42578125" style="1" customWidth="1"/>
    <col min="3" max="3" width="11.7109375" style="1" customWidth="1"/>
    <col min="4" max="6" width="12.5703125" style="1" bestFit="1" customWidth="1"/>
    <col min="7" max="7" width="14.140625" style="1" customWidth="1"/>
    <col min="8" max="8" width="14.42578125" style="1" customWidth="1"/>
    <col min="9" max="9" width="13.85546875" style="1" customWidth="1"/>
    <col min="10" max="10" width="12.42578125" style="1" customWidth="1"/>
    <col min="11" max="11" width="16.5703125" style="1" customWidth="1"/>
    <col min="12" max="12" width="9.42578125" style="1" customWidth="1"/>
    <col min="13" max="13" width="9.7109375" style="1" customWidth="1"/>
    <col min="14" max="14" width="8.5703125" style="1" customWidth="1"/>
    <col min="15" max="15" width="10.42578125" style="1" customWidth="1"/>
    <col min="16" max="18" width="8.7109375" style="1"/>
    <col min="19" max="19" width="10.28515625" style="1" customWidth="1"/>
    <col min="20" max="20" width="14.5703125" style="1" customWidth="1"/>
    <col min="21" max="21" width="13.7109375" style="1" customWidth="1"/>
    <col min="22" max="22" width="13.5703125" style="1" customWidth="1"/>
    <col min="23" max="23" width="10.42578125" style="1" customWidth="1"/>
    <col min="24" max="24" width="10" style="1" customWidth="1"/>
    <col min="25" max="25" width="14" style="1" customWidth="1"/>
    <col min="26" max="27" width="12.28515625" style="1" customWidth="1"/>
    <col min="28" max="28" width="11.7109375" style="1" customWidth="1"/>
    <col min="29" max="29" width="12.7109375" style="1" customWidth="1"/>
    <col min="30" max="31" width="7.7109375" style="1" customWidth="1"/>
    <col min="32" max="32" width="8.7109375" style="1" customWidth="1"/>
    <col min="33" max="33" width="11.28515625" style="1" customWidth="1"/>
    <col min="34" max="34" width="8.5703125" style="1" customWidth="1"/>
    <col min="35" max="35" width="10.5703125" style="1" customWidth="1"/>
    <col min="36" max="36" width="13.28515625" style="1" customWidth="1"/>
    <col min="37" max="37" width="12.28515625" style="1" customWidth="1"/>
    <col min="38" max="38" width="13.7109375" style="1" customWidth="1"/>
    <col min="39" max="39" width="12.7109375" style="1" customWidth="1"/>
    <col min="40" max="40" width="8" style="1" customWidth="1"/>
    <col min="41" max="41" width="11.42578125" style="1" customWidth="1"/>
    <col min="42" max="42" width="9.7109375" style="1" customWidth="1"/>
    <col min="43" max="43" width="9.42578125" style="1" customWidth="1"/>
    <col min="44" max="44" width="7.7109375" style="1" customWidth="1"/>
    <col min="45" max="45" width="8.42578125" style="1" customWidth="1"/>
    <col min="46" max="46" width="8.7109375" style="1" customWidth="1"/>
    <col min="47" max="47" width="7" style="1" bestFit="1" customWidth="1"/>
    <col min="48" max="48" width="12.28515625" style="1" customWidth="1"/>
    <col min="49" max="49" width="13.42578125" style="1" customWidth="1"/>
    <col min="50" max="50" width="10.42578125" style="1" customWidth="1"/>
    <col min="51" max="51" width="12.7109375" style="1" customWidth="1"/>
    <col min="52" max="52" width="12.5703125" style="1" customWidth="1"/>
    <col min="53" max="53" width="9.42578125" style="1" customWidth="1"/>
    <col min="54" max="54" width="15.5703125" style="1" customWidth="1"/>
    <col min="55" max="55" width="13.5703125" style="1" customWidth="1"/>
    <col min="56" max="56" width="12.42578125" style="1" customWidth="1"/>
    <col min="57" max="57" width="10.5703125" style="1" bestFit="1" customWidth="1"/>
    <col min="58" max="58" width="10.28515625" style="1" bestFit="1" customWidth="1"/>
    <col min="59" max="59" width="18.5703125" style="1" bestFit="1" customWidth="1"/>
    <col min="60" max="60" width="11.5703125" style="1" bestFit="1" customWidth="1"/>
    <col min="61" max="61" width="9.7109375" style="1" bestFit="1" customWidth="1"/>
    <col min="62" max="16384" width="8.7109375" style="1"/>
  </cols>
  <sheetData>
    <row r="1" spans="1:65" ht="14.65" customHeight="1" x14ac:dyDescent="0.25">
      <c r="A1" s="189" t="s">
        <v>148</v>
      </c>
      <c r="B1" s="189" t="s">
        <v>147</v>
      </c>
      <c r="C1" s="189" t="s">
        <v>337</v>
      </c>
      <c r="D1" s="271" t="s">
        <v>146</v>
      </c>
      <c r="E1" s="272"/>
      <c r="F1" s="272"/>
      <c r="G1" s="272"/>
      <c r="H1" s="272"/>
      <c r="I1" s="272"/>
      <c r="J1" s="272"/>
      <c r="K1" s="272"/>
      <c r="L1" s="292" t="s">
        <v>162</v>
      </c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4"/>
      <c r="Z1" s="210" t="s">
        <v>155</v>
      </c>
      <c r="AA1" s="266"/>
      <c r="AB1" s="210" t="s">
        <v>161</v>
      </c>
      <c r="AC1" s="187" t="s">
        <v>403</v>
      </c>
      <c r="AD1" s="297" t="s">
        <v>404</v>
      </c>
      <c r="AE1" s="298"/>
      <c r="AF1" s="298"/>
      <c r="AG1" s="298"/>
      <c r="AH1" s="298"/>
      <c r="AI1" s="299"/>
      <c r="AJ1" s="301" t="s">
        <v>405</v>
      </c>
      <c r="AK1" s="301" t="s">
        <v>406</v>
      </c>
      <c r="AL1" s="289" t="s">
        <v>407</v>
      </c>
      <c r="AM1" s="262" t="s">
        <v>156</v>
      </c>
      <c r="AN1" s="274"/>
      <c r="AO1" s="275"/>
      <c r="AP1" s="210" t="s">
        <v>160</v>
      </c>
      <c r="AQ1" s="266"/>
      <c r="AR1" s="276" t="s">
        <v>408</v>
      </c>
      <c r="AS1" s="277"/>
      <c r="AT1" s="277"/>
      <c r="AU1" s="277"/>
      <c r="AV1" s="277"/>
      <c r="AW1" s="277"/>
      <c r="AX1" s="278"/>
      <c r="AY1" s="276" t="s">
        <v>409</v>
      </c>
      <c r="AZ1" s="279"/>
      <c r="BA1" s="280"/>
      <c r="BB1" s="210" t="s">
        <v>410</v>
      </c>
      <c r="BC1" s="183" t="s">
        <v>411</v>
      </c>
      <c r="BD1" s="210" t="s">
        <v>382</v>
      </c>
      <c r="BE1" s="210" t="s">
        <v>166</v>
      </c>
    </row>
    <row r="2" spans="1:65" ht="52.5" customHeight="1" x14ac:dyDescent="0.3">
      <c r="A2" s="189"/>
      <c r="B2" s="189"/>
      <c r="C2" s="189"/>
      <c r="D2" s="267" t="s">
        <v>412</v>
      </c>
      <c r="E2" s="268"/>
      <c r="F2" s="268"/>
      <c r="G2" s="267" t="s">
        <v>413</v>
      </c>
      <c r="H2" s="268"/>
      <c r="I2" s="268"/>
      <c r="J2" s="189" t="s">
        <v>414</v>
      </c>
      <c r="K2" s="269" t="s">
        <v>381</v>
      </c>
      <c r="L2" s="271" t="s">
        <v>493</v>
      </c>
      <c r="M2" s="272"/>
      <c r="N2" s="272"/>
      <c r="O2" s="272"/>
      <c r="P2" s="272"/>
      <c r="Q2" s="272"/>
      <c r="R2" s="272"/>
      <c r="S2" s="272"/>
      <c r="T2" s="210" t="s">
        <v>151</v>
      </c>
      <c r="U2" s="210" t="s">
        <v>500</v>
      </c>
      <c r="V2" s="210" t="s">
        <v>502</v>
      </c>
      <c r="W2" s="210" t="s">
        <v>497</v>
      </c>
      <c r="X2" s="210" t="s">
        <v>498</v>
      </c>
      <c r="Y2" s="269" t="s">
        <v>144</v>
      </c>
      <c r="Z2" s="266"/>
      <c r="AA2" s="266"/>
      <c r="AB2" s="296"/>
      <c r="AC2" s="238"/>
      <c r="AD2" s="300"/>
      <c r="AE2" s="277"/>
      <c r="AF2" s="277"/>
      <c r="AG2" s="277"/>
      <c r="AH2" s="277"/>
      <c r="AI2" s="278"/>
      <c r="AJ2" s="302"/>
      <c r="AK2" s="302"/>
      <c r="AL2" s="290"/>
      <c r="AM2" s="210" t="s">
        <v>495</v>
      </c>
      <c r="AN2" s="210" t="s">
        <v>154</v>
      </c>
      <c r="AO2" s="187" t="s">
        <v>417</v>
      </c>
      <c r="AP2" s="266"/>
      <c r="AQ2" s="266"/>
      <c r="AR2" s="283" t="s">
        <v>418</v>
      </c>
      <c r="AS2" s="264"/>
      <c r="AT2" s="283" t="s">
        <v>419</v>
      </c>
      <c r="AU2" s="264"/>
      <c r="AV2" s="283" t="s">
        <v>420</v>
      </c>
      <c r="AW2" s="284"/>
      <c r="AX2" s="264"/>
      <c r="AY2" s="285" t="s">
        <v>421</v>
      </c>
      <c r="AZ2" s="285" t="s">
        <v>422</v>
      </c>
      <c r="BA2" s="183" t="s">
        <v>423</v>
      </c>
      <c r="BB2" s="266"/>
      <c r="BC2" s="281"/>
      <c r="BD2" s="266"/>
      <c r="BE2" s="266"/>
      <c r="BG2" s="112"/>
      <c r="BH2" s="112"/>
      <c r="BI2" s="112"/>
    </row>
    <row r="3" spans="1:65" ht="39" customHeight="1" x14ac:dyDescent="0.25">
      <c r="A3" s="189"/>
      <c r="B3" s="189"/>
      <c r="C3" s="189"/>
      <c r="D3" s="97">
        <v>2021</v>
      </c>
      <c r="E3" s="97">
        <v>2022</v>
      </c>
      <c r="F3" s="97">
        <v>2023</v>
      </c>
      <c r="G3" s="97">
        <v>2021</v>
      </c>
      <c r="H3" s="97">
        <v>2022</v>
      </c>
      <c r="I3" s="97">
        <v>2023</v>
      </c>
      <c r="J3" s="189"/>
      <c r="K3" s="270"/>
      <c r="L3" s="104" t="s">
        <v>143</v>
      </c>
      <c r="M3" s="104" t="s">
        <v>142</v>
      </c>
      <c r="N3" s="85" t="s">
        <v>141</v>
      </c>
      <c r="O3" s="104" t="s">
        <v>140</v>
      </c>
      <c r="P3" s="104" t="s">
        <v>180</v>
      </c>
      <c r="Q3" s="104" t="s">
        <v>424</v>
      </c>
      <c r="R3" s="104" t="s">
        <v>425</v>
      </c>
      <c r="S3" s="104" t="s">
        <v>139</v>
      </c>
      <c r="T3" s="273"/>
      <c r="U3" s="273"/>
      <c r="V3" s="273"/>
      <c r="W3" s="273"/>
      <c r="X3" s="273"/>
      <c r="Y3" s="295"/>
      <c r="Z3" s="16"/>
      <c r="AA3" s="16">
        <v>2024</v>
      </c>
      <c r="AB3" s="296"/>
      <c r="AC3" s="238"/>
      <c r="AD3" s="104" t="s">
        <v>143</v>
      </c>
      <c r="AE3" s="104" t="s">
        <v>142</v>
      </c>
      <c r="AF3" s="85" t="s">
        <v>141</v>
      </c>
      <c r="AG3" s="104" t="s">
        <v>140</v>
      </c>
      <c r="AH3" s="104" t="s">
        <v>180</v>
      </c>
      <c r="AI3" s="16" t="s">
        <v>149</v>
      </c>
      <c r="AJ3" s="303"/>
      <c r="AK3" s="303"/>
      <c r="AL3" s="291"/>
      <c r="AM3" s="273"/>
      <c r="AN3" s="273"/>
      <c r="AO3" s="187"/>
      <c r="AP3" s="16">
        <v>2023</v>
      </c>
      <c r="AQ3" s="98">
        <v>2024</v>
      </c>
      <c r="AR3" s="114" t="s">
        <v>348</v>
      </c>
      <c r="AS3" s="113" t="s">
        <v>241</v>
      </c>
      <c r="AT3" s="114" t="s">
        <v>426</v>
      </c>
      <c r="AU3" s="113" t="s">
        <v>241</v>
      </c>
      <c r="AV3" s="115" t="s">
        <v>427</v>
      </c>
      <c r="AW3" s="115" t="s">
        <v>428</v>
      </c>
      <c r="AX3" s="113" t="s">
        <v>241</v>
      </c>
      <c r="AY3" s="286"/>
      <c r="AZ3" s="287"/>
      <c r="BA3" s="288"/>
      <c r="BB3" s="266"/>
      <c r="BC3" s="282"/>
      <c r="BD3" s="266"/>
      <c r="BE3" s="266"/>
      <c r="BG3" s="112"/>
      <c r="BH3" s="112"/>
      <c r="BI3" s="112"/>
    </row>
    <row r="4" spans="1:65" ht="15" x14ac:dyDescent="0.25">
      <c r="A4" s="20" t="s">
        <v>69</v>
      </c>
      <c r="B4" s="21" t="s">
        <v>138</v>
      </c>
      <c r="C4" s="21" t="s">
        <v>79</v>
      </c>
      <c r="D4" s="10">
        <f>'Tulumaks 2021-2024'!D4*0.025*'Tulumaks 2021-2024'!D$85</f>
        <v>255011.86389082269</v>
      </c>
      <c r="E4" s="10">
        <f>'Tulumaks 2021-2024'!E4*0.025*'Tulumaks 2021-2024'!E$85</f>
        <v>276231.16369122249</v>
      </c>
      <c r="F4" s="10">
        <f>'Tulumaks 2021-2024'!F4*0.025*'Tulumaks 2021-2024'!F$85</f>
        <v>322177.88816199847</v>
      </c>
      <c r="G4" s="10">
        <v>6100954.846989966</v>
      </c>
      <c r="H4" s="10">
        <v>6796305.1112040123</v>
      </c>
      <c r="I4" s="10">
        <f>'Tulumaks 2021-2024'!O4/11.96*11.89</f>
        <v>7214333.0551839462</v>
      </c>
      <c r="J4" s="10">
        <v>271237.07311666687</v>
      </c>
      <c r="K4" s="4">
        <f>0.2*(D4+G4)+0.3*(E4+H4)+0.5*(F4+I4)+J4</f>
        <v>7432446.7694343673</v>
      </c>
      <c r="L4" s="10">
        <v>476</v>
      </c>
      <c r="M4" s="10">
        <v>888</v>
      </c>
      <c r="N4" s="10">
        <v>661</v>
      </c>
      <c r="O4" s="10">
        <v>3665</v>
      </c>
      <c r="P4" s="10">
        <v>1408</v>
      </c>
      <c r="Q4" s="10">
        <v>1215</v>
      </c>
      <c r="R4" s="10">
        <v>193</v>
      </c>
      <c r="S4" s="10">
        <f>L4+M4+O4+P4</f>
        <v>6437</v>
      </c>
      <c r="T4" s="116">
        <v>1.43</v>
      </c>
      <c r="U4" s="10">
        <v>122</v>
      </c>
      <c r="V4" s="10">
        <v>9</v>
      </c>
      <c r="W4" s="10">
        <v>15</v>
      </c>
      <c r="X4" s="10">
        <v>0</v>
      </c>
      <c r="Y4" s="3">
        <f>L4*M$87+M4*M$88+O4*M$92+P4*M$93+N4*(($T4-1)*0.75+1)*M$89+$U4*M$91*(($T4-1)*0.75+1)+M$90*N4*T4+V4*M$98+Q4*M$94+R4*M$95+W4*M$99+X4*0.5*M$99</f>
        <v>8309585.3518755762</v>
      </c>
      <c r="Z4" s="10"/>
      <c r="AA4" s="12">
        <f t="shared" ref="AA4:AA67" si="0">ROUND(IF((Y4-K4)&lt;0,0,Y4-K4)*AA$84,0)</f>
        <v>789425</v>
      </c>
      <c r="AB4" s="12">
        <v>0</v>
      </c>
      <c r="AC4" s="12">
        <f t="shared" ref="AC4:AC67" si="1">AA4+AB4</f>
        <v>789425</v>
      </c>
      <c r="AD4" s="12">
        <v>434</v>
      </c>
      <c r="AE4" s="12">
        <v>814</v>
      </c>
      <c r="AF4" s="12">
        <v>625</v>
      </c>
      <c r="AG4" s="12">
        <v>3751</v>
      </c>
      <c r="AH4" s="12">
        <v>1292</v>
      </c>
      <c r="AI4" s="12">
        <f>AD4+AE4+AG4+AH4</f>
        <v>6291</v>
      </c>
      <c r="AJ4" s="12">
        <f t="shared" ref="AJ4:AJ67" si="2">AD4*M$87+AE4*M$88+AG4*M$92+AH4*M$93+AF4*(($T4-1)*0.75+1)*M$89+$U4*M$91*(($T4-1)*0.75+1)+M$90*AF4*T4+V4*M$98+Q4*M$94+R4*M$95+W4*M$99+X4*0.5*M$99</f>
        <v>7966973.17671174</v>
      </c>
      <c r="AK4" s="12">
        <f t="shared" ref="AK4:AK67" si="3">ROUND(IF((AJ4-K4)&lt;0,0,AJ4-K4)*AA$84,0)</f>
        <v>481074</v>
      </c>
      <c r="AL4" s="12">
        <f>IF(AK4&gt;AA4,(AK4-AA4)*AL$84,0)</f>
        <v>0</v>
      </c>
      <c r="AM4" s="7"/>
      <c r="AN4" s="117"/>
      <c r="AO4" s="7"/>
      <c r="AP4" s="10">
        <v>0</v>
      </c>
      <c r="AQ4" s="10">
        <f t="shared" ref="AQ4:AQ67" si="4">ROUND(AP4*AQ$84,0)</f>
        <v>0</v>
      </c>
      <c r="AR4" s="10"/>
      <c r="AS4" s="10">
        <f t="shared" ref="AS4:AS67" si="5">AR4*M$103</f>
        <v>0</v>
      </c>
      <c r="AT4" s="10">
        <f t="shared" ref="AT4:AT67" si="6">(Q4+R4*4.85)/(Q$83+R$83*4.85)*AT$84</f>
        <v>0</v>
      </c>
      <c r="AU4" s="10">
        <f>IF(AA4=0,0,AT4)</f>
        <v>0</v>
      </c>
      <c r="AV4" s="10">
        <f>'Tulumaks 2021-2024'!J4*0.0188*'Tulumaks 2021-2024'!J$85</f>
        <v>274864.34334363707</v>
      </c>
      <c r="AW4" s="10">
        <v>47</v>
      </c>
      <c r="AX4" s="10">
        <f>IF((AS4+AU4+AV4)/12/AW4&lt;379,379*AW4*12-AV4-AU4-AS4,0)</f>
        <v>0</v>
      </c>
      <c r="AY4" s="10">
        <f>SUM('Tulumaks 2021-2024'!H4:I4)</f>
        <v>6633535.0999999996</v>
      </c>
      <c r="AZ4" s="10">
        <v>3670017</v>
      </c>
      <c r="BA4" s="10">
        <f>AY4/AY$83*AY$84+AZ4/AZ$83*AZ$84</f>
        <v>28222.725221458022</v>
      </c>
      <c r="BB4" s="10"/>
      <c r="BC4" s="10">
        <f>ROUND(AC4+AL4+AO4+AQ4+AS4+AU4+AX4+BA4+BB4,0)</f>
        <v>817648</v>
      </c>
      <c r="BD4" s="10">
        <v>380973</v>
      </c>
      <c r="BE4" s="10">
        <f>BC4-BD4</f>
        <v>436675</v>
      </c>
      <c r="BF4" s="5"/>
      <c r="BG4" s="5"/>
      <c r="BH4" s="112"/>
      <c r="BI4" s="112"/>
      <c r="BL4" s="56"/>
      <c r="BM4" s="56"/>
    </row>
    <row r="5" spans="1:65" ht="15" x14ac:dyDescent="0.25">
      <c r="A5" s="20" t="s">
        <v>69</v>
      </c>
      <c r="B5" s="21" t="s">
        <v>137</v>
      </c>
      <c r="C5" s="21" t="s">
        <v>74</v>
      </c>
      <c r="D5" s="10">
        <f>'Tulumaks 2021-2024'!D5*0.025*'Tulumaks 2021-2024'!D$85</f>
        <v>401357.2793234908</v>
      </c>
      <c r="E5" s="10">
        <f>'Tulumaks 2021-2024'!E5*0.025*'Tulumaks 2021-2024'!E$85</f>
        <v>448749.32822583936</v>
      </c>
      <c r="F5" s="10">
        <f>'Tulumaks 2021-2024'!F5*0.025*'Tulumaks 2021-2024'!F$85</f>
        <v>542442.33661433402</v>
      </c>
      <c r="G5" s="10">
        <v>22185367.082775921</v>
      </c>
      <c r="H5" s="10">
        <v>26098360.117892977</v>
      </c>
      <c r="I5" s="10">
        <f>'Tulumaks 2021-2024'!O5/11.96*11.89</f>
        <v>29956483.188963208</v>
      </c>
      <c r="J5" s="10">
        <v>1382363.396124999</v>
      </c>
      <c r="K5" s="4">
        <f t="shared" ref="K5:K68" si="7">0.2*(D5+G5)+0.3*(E5+H5)+0.5*(F5+I5)+J5</f>
        <v>29113303.865169298</v>
      </c>
      <c r="L5" s="10">
        <v>1815</v>
      </c>
      <c r="M5" s="10">
        <v>3358</v>
      </c>
      <c r="N5" s="10">
        <v>2521</v>
      </c>
      <c r="O5" s="10">
        <v>10733</v>
      </c>
      <c r="P5" s="10">
        <v>2162</v>
      </c>
      <c r="Q5" s="10">
        <v>1962</v>
      </c>
      <c r="R5" s="10">
        <v>200</v>
      </c>
      <c r="S5" s="10">
        <f t="shared" ref="S5:S68" si="8">L5+M5+O5+P5</f>
        <v>18068</v>
      </c>
      <c r="T5" s="116">
        <v>1.39</v>
      </c>
      <c r="U5" s="10">
        <v>300</v>
      </c>
      <c r="V5" s="10">
        <v>5</v>
      </c>
      <c r="W5" s="10">
        <v>7</v>
      </c>
      <c r="X5" s="10">
        <v>0</v>
      </c>
      <c r="Y5" s="3">
        <f t="shared" ref="Y5:Y68" si="9">L5*M$87+M5*M$88+O5*M$92+P5*M$93+N5*(($T5-1)*0.75+1)*M$89+$U5*M$91*(($T5-1)*0.75+1)+M$90*N5*T5+V5*M$98+Q5*M$94+R5*M$95+W5*M$99+X5*0.5*M$99</f>
        <v>24511752.219276465</v>
      </c>
      <c r="Z5" s="10"/>
      <c r="AA5" s="12">
        <f t="shared" si="0"/>
        <v>0</v>
      </c>
      <c r="AB5" s="12">
        <v>0</v>
      </c>
      <c r="AC5" s="12">
        <f t="shared" si="1"/>
        <v>0</v>
      </c>
      <c r="AD5" s="12">
        <v>1540</v>
      </c>
      <c r="AE5" s="12">
        <v>2764</v>
      </c>
      <c r="AF5" s="12">
        <v>2286</v>
      </c>
      <c r="AG5" s="12">
        <v>8945</v>
      </c>
      <c r="AH5" s="12">
        <v>1683</v>
      </c>
      <c r="AI5" s="12">
        <f t="shared" ref="AI5:AI68" si="10">AD5+AE5+AG5+AH5</f>
        <v>14932</v>
      </c>
      <c r="AJ5" s="12">
        <f t="shared" si="2"/>
        <v>21006647.484580867</v>
      </c>
      <c r="AK5" s="12">
        <f t="shared" si="3"/>
        <v>0</v>
      </c>
      <c r="AL5" s="12">
        <f t="shared" ref="AL5:AL68" si="11">IF(AK5&gt;AA5,(AK5-AA5)*AL$84,0)</f>
        <v>0</v>
      </c>
      <c r="AM5" s="7"/>
      <c r="AN5" s="117"/>
      <c r="AO5" s="7"/>
      <c r="AP5" s="10">
        <v>3097</v>
      </c>
      <c r="AQ5" s="10">
        <f t="shared" si="4"/>
        <v>2214</v>
      </c>
      <c r="AR5" s="10"/>
      <c r="AS5" s="10">
        <f t="shared" si="5"/>
        <v>0</v>
      </c>
      <c r="AT5" s="10">
        <f t="shared" si="6"/>
        <v>0</v>
      </c>
      <c r="AU5" s="10">
        <f t="shared" ref="AU5:AU68" si="12">IF(AA5=0,0,AT5)</f>
        <v>0</v>
      </c>
      <c r="AV5" s="10">
        <f>'Tulumaks 2021-2024'!J5*0.0188*'Tulumaks 2021-2024'!J$85</f>
        <v>462781.78029498144</v>
      </c>
      <c r="AW5" s="10">
        <v>42</v>
      </c>
      <c r="AX5" s="10">
        <f t="shared" ref="AX5:AX68" si="13">IF((AS5+AU5+AV5)/12/AW5&lt;379,379*AW5*12-AV5-AU5-AS5,0)</f>
        <v>0</v>
      </c>
      <c r="AY5" s="10">
        <f>SUM('Tulumaks 2021-2024'!H5:I5)</f>
        <v>11265230.229999999</v>
      </c>
      <c r="AZ5" s="10">
        <v>15331511</v>
      </c>
      <c r="BA5" s="10">
        <f t="shared" ref="BA5:BA68" si="14">AY5/AY$83*AY$84+AZ5/AZ$83*AZ$84</f>
        <v>61061.901700432587</v>
      </c>
      <c r="BB5" s="10"/>
      <c r="BC5" s="10">
        <f t="shared" ref="BC5:BC68" si="15">ROUND(AC5+AL5+AO5+AQ5+AS5+AU5+AX5+BA5+BB5,0)</f>
        <v>63276</v>
      </c>
      <c r="BD5" s="10">
        <v>3097</v>
      </c>
      <c r="BE5" s="10">
        <f t="shared" ref="BE5:BE68" si="16">BC5-BD5</f>
        <v>60179</v>
      </c>
      <c r="BF5" s="5"/>
      <c r="BG5" s="5"/>
      <c r="BH5" s="112"/>
      <c r="BI5" s="112"/>
      <c r="BL5" s="56"/>
      <c r="BM5" s="56"/>
    </row>
    <row r="6" spans="1:65" ht="15" x14ac:dyDescent="0.25">
      <c r="A6" s="20" t="s">
        <v>69</v>
      </c>
      <c r="B6" s="21" t="s">
        <v>136</v>
      </c>
      <c r="C6" s="21" t="s">
        <v>77</v>
      </c>
      <c r="D6" s="10">
        <f>'Tulumaks 2021-2024'!D6*0.025*'Tulumaks 2021-2024'!D$85</f>
        <v>217871.04069520894</v>
      </c>
      <c r="E6" s="10">
        <f>'Tulumaks 2021-2024'!E6*0.025*'Tulumaks 2021-2024'!E$85</f>
        <v>241155.17053617915</v>
      </c>
      <c r="F6" s="10">
        <f>'Tulumaks 2021-2024'!F6*0.025*'Tulumaks 2021-2024'!F$85</f>
        <v>289061.194573063</v>
      </c>
      <c r="G6" s="10">
        <v>8127232.5418060198</v>
      </c>
      <c r="H6" s="10">
        <v>9364792.653846154</v>
      </c>
      <c r="I6" s="10">
        <f>'Tulumaks 2021-2024'!O6/11.96*11.89</f>
        <v>10804399.257525083</v>
      </c>
      <c r="J6" s="10">
        <v>1179842.7372500002</v>
      </c>
      <c r="K6" s="4">
        <f t="shared" si="7"/>
        <v>11277378.027114019</v>
      </c>
      <c r="L6" s="10">
        <v>613</v>
      </c>
      <c r="M6" s="10">
        <v>1230</v>
      </c>
      <c r="N6" s="10">
        <v>970</v>
      </c>
      <c r="O6" s="10">
        <v>4451</v>
      </c>
      <c r="P6" s="10">
        <v>1169</v>
      </c>
      <c r="Q6" s="10">
        <v>1053</v>
      </c>
      <c r="R6" s="10">
        <v>116</v>
      </c>
      <c r="S6" s="10">
        <f t="shared" si="8"/>
        <v>7463</v>
      </c>
      <c r="T6" s="116">
        <v>1.81</v>
      </c>
      <c r="U6" s="10">
        <v>159</v>
      </c>
      <c r="V6" s="10">
        <v>2</v>
      </c>
      <c r="W6" s="10">
        <v>1</v>
      </c>
      <c r="X6" s="10">
        <v>0</v>
      </c>
      <c r="Y6" s="3">
        <f t="shared" si="9"/>
        <v>10248484.132335121</v>
      </c>
      <c r="Z6" s="10"/>
      <c r="AA6" s="12">
        <f t="shared" si="0"/>
        <v>0</v>
      </c>
      <c r="AB6" s="12">
        <v>0</v>
      </c>
      <c r="AC6" s="12">
        <f t="shared" si="1"/>
        <v>0</v>
      </c>
      <c r="AD6" s="12">
        <v>567</v>
      </c>
      <c r="AE6" s="12">
        <v>977</v>
      </c>
      <c r="AF6" s="12">
        <v>791</v>
      </c>
      <c r="AG6" s="12">
        <v>4122</v>
      </c>
      <c r="AH6" s="12">
        <v>946</v>
      </c>
      <c r="AI6" s="12">
        <f t="shared" si="10"/>
        <v>6612</v>
      </c>
      <c r="AJ6" s="12">
        <f t="shared" si="2"/>
        <v>9025752.7397313826</v>
      </c>
      <c r="AK6" s="12">
        <f t="shared" si="3"/>
        <v>0</v>
      </c>
      <c r="AL6" s="12">
        <f t="shared" si="11"/>
        <v>0</v>
      </c>
      <c r="AM6" s="7"/>
      <c r="AN6" s="117"/>
      <c r="AO6" s="7"/>
      <c r="AP6" s="10">
        <v>62765</v>
      </c>
      <c r="AQ6" s="10">
        <f t="shared" si="4"/>
        <v>44877</v>
      </c>
      <c r="AR6" s="10"/>
      <c r="AS6" s="10">
        <f t="shared" si="5"/>
        <v>0</v>
      </c>
      <c r="AT6" s="10">
        <f t="shared" si="6"/>
        <v>0</v>
      </c>
      <c r="AU6" s="10">
        <f t="shared" si="12"/>
        <v>0</v>
      </c>
      <c r="AV6" s="10">
        <f>'Tulumaks 2021-2024'!J6*0.0188*'Tulumaks 2021-2024'!J$85</f>
        <v>246611.01320678368</v>
      </c>
      <c r="AW6" s="10">
        <v>36</v>
      </c>
      <c r="AX6" s="10">
        <f t="shared" si="13"/>
        <v>0</v>
      </c>
      <c r="AY6" s="10">
        <f>SUM('Tulumaks 2021-2024'!H6:I6)</f>
        <v>5985233.4100000001</v>
      </c>
      <c r="AZ6" s="10">
        <v>5597176</v>
      </c>
      <c r="BA6" s="10">
        <f t="shared" si="14"/>
        <v>28763.835483260133</v>
      </c>
      <c r="BB6" s="10"/>
      <c r="BC6" s="10">
        <f t="shared" si="15"/>
        <v>73641</v>
      </c>
      <c r="BD6" s="10">
        <v>62765</v>
      </c>
      <c r="BE6" s="10">
        <f t="shared" si="16"/>
        <v>10876</v>
      </c>
      <c r="BF6" s="5"/>
      <c r="BG6" s="5"/>
      <c r="BH6" s="112"/>
      <c r="BI6" s="112"/>
      <c r="BL6" s="56"/>
      <c r="BM6" s="56"/>
    </row>
    <row r="7" spans="1:65" ht="15" x14ac:dyDescent="0.25">
      <c r="A7" s="20" t="s">
        <v>69</v>
      </c>
      <c r="B7" s="21" t="s">
        <v>81</v>
      </c>
      <c r="C7" s="21" t="s">
        <v>81</v>
      </c>
      <c r="D7" s="10">
        <f>'Tulumaks 2021-2024'!D7*0.025*'Tulumaks 2021-2024'!D$85</f>
        <v>336897.17023333005</v>
      </c>
      <c r="E7" s="10">
        <f>'Tulumaks 2021-2024'!E7*0.025*'Tulumaks 2021-2024'!E$85</f>
        <v>358052.22181898175</v>
      </c>
      <c r="F7" s="10">
        <f>'Tulumaks 2021-2024'!F7*0.025*'Tulumaks 2021-2024'!F$85</f>
        <v>422825.42747170629</v>
      </c>
      <c r="G7" s="10">
        <v>12004641.073578596</v>
      </c>
      <c r="H7" s="10">
        <v>13197429.768394647</v>
      </c>
      <c r="I7" s="10">
        <f>'Tulumaks 2021-2024'!O7/11.96*11.89</f>
        <v>14540173.632107025</v>
      </c>
      <c r="J7" s="10">
        <v>150910.34674999988</v>
      </c>
      <c r="K7" s="4">
        <f t="shared" si="7"/>
        <v>14167362.12236584</v>
      </c>
      <c r="L7" s="10">
        <v>927</v>
      </c>
      <c r="M7" s="10">
        <v>1744</v>
      </c>
      <c r="N7" s="10">
        <v>1353</v>
      </c>
      <c r="O7" s="10">
        <v>5972</v>
      </c>
      <c r="P7" s="10">
        <v>1774</v>
      </c>
      <c r="Q7" s="10">
        <v>1512</v>
      </c>
      <c r="R7" s="10">
        <v>262</v>
      </c>
      <c r="S7" s="10">
        <f t="shared" si="8"/>
        <v>10417</v>
      </c>
      <c r="T7" s="116">
        <v>1</v>
      </c>
      <c r="U7" s="10">
        <v>240</v>
      </c>
      <c r="V7" s="10">
        <v>6</v>
      </c>
      <c r="W7" s="10">
        <v>2</v>
      </c>
      <c r="X7" s="10">
        <v>0</v>
      </c>
      <c r="Y7" s="3">
        <f t="shared" si="9"/>
        <v>13100891.891944222</v>
      </c>
      <c r="Z7" s="10"/>
      <c r="AA7" s="12">
        <f t="shared" si="0"/>
        <v>0</v>
      </c>
      <c r="AB7" s="12">
        <v>0</v>
      </c>
      <c r="AC7" s="12">
        <f t="shared" si="1"/>
        <v>0</v>
      </c>
      <c r="AD7" s="12">
        <v>954</v>
      </c>
      <c r="AE7" s="12">
        <v>1551</v>
      </c>
      <c r="AF7" s="12">
        <v>1239</v>
      </c>
      <c r="AG7" s="12">
        <v>5961</v>
      </c>
      <c r="AH7" s="12">
        <v>1621</v>
      </c>
      <c r="AI7" s="12">
        <f t="shared" si="10"/>
        <v>10087</v>
      </c>
      <c r="AJ7" s="12">
        <f t="shared" si="2"/>
        <v>12754285.561511122</v>
      </c>
      <c r="AK7" s="12">
        <f t="shared" si="3"/>
        <v>0</v>
      </c>
      <c r="AL7" s="12">
        <f t="shared" si="11"/>
        <v>0</v>
      </c>
      <c r="AM7" s="7"/>
      <c r="AN7" s="117"/>
      <c r="AO7" s="7"/>
      <c r="AP7" s="10">
        <v>0</v>
      </c>
      <c r="AQ7" s="10">
        <f t="shared" si="4"/>
        <v>0</v>
      </c>
      <c r="AR7" s="10"/>
      <c r="AS7" s="10">
        <f t="shared" si="5"/>
        <v>0</v>
      </c>
      <c r="AT7" s="10">
        <f t="shared" si="6"/>
        <v>0</v>
      </c>
      <c r="AU7" s="10">
        <f t="shared" si="12"/>
        <v>0</v>
      </c>
      <c r="AV7" s="10">
        <f>'Tulumaks 2021-2024'!J7*0.0188*'Tulumaks 2021-2024'!J$85</f>
        <v>360731.25357555668</v>
      </c>
      <c r="AW7" s="10">
        <v>49</v>
      </c>
      <c r="AX7" s="10">
        <f t="shared" si="13"/>
        <v>0</v>
      </c>
      <c r="AY7" s="10">
        <f>SUM('Tulumaks 2021-2024'!H7:I7)</f>
        <v>8772481.6400000006</v>
      </c>
      <c r="AZ7" s="10">
        <v>7372690</v>
      </c>
      <c r="BA7" s="10">
        <f t="shared" si="14"/>
        <v>40959.308091217827</v>
      </c>
      <c r="BB7" s="10"/>
      <c r="BC7" s="10">
        <f t="shared" si="15"/>
        <v>40959</v>
      </c>
      <c r="BD7" s="10">
        <v>0</v>
      </c>
      <c r="BE7" s="10">
        <f t="shared" si="16"/>
        <v>40959</v>
      </c>
      <c r="BF7" s="5"/>
      <c r="BG7" s="5"/>
      <c r="BH7" s="112"/>
      <c r="BI7" s="112"/>
      <c r="BL7" s="56"/>
      <c r="BM7" s="56"/>
    </row>
    <row r="8" spans="1:65" ht="15" x14ac:dyDescent="0.25">
      <c r="A8" s="20" t="s">
        <v>69</v>
      </c>
      <c r="B8" s="21" t="s">
        <v>135</v>
      </c>
      <c r="C8" s="21" t="s">
        <v>71</v>
      </c>
      <c r="D8" s="10">
        <f>'Tulumaks 2021-2024'!D8*0.025*'Tulumaks 2021-2024'!D$85</f>
        <v>125886.59496953106</v>
      </c>
      <c r="E8" s="10">
        <f>'Tulumaks 2021-2024'!E8*0.025*'Tulumaks 2021-2024'!E$85</f>
        <v>140579.70880063871</v>
      </c>
      <c r="F8" s="10">
        <f>'Tulumaks 2021-2024'!F8*0.025*'Tulumaks 2021-2024'!F$85</f>
        <v>170829.70146120834</v>
      </c>
      <c r="G8" s="10">
        <v>8366728.5568561871</v>
      </c>
      <c r="H8" s="10">
        <v>9738155.5543478262</v>
      </c>
      <c r="I8" s="10">
        <f>'Tulumaks 2021-2024'!O8/11.96*11.89</f>
        <v>11024398.058528429</v>
      </c>
      <c r="J8" s="10">
        <v>214441.84047499977</v>
      </c>
      <c r="K8" s="4">
        <f t="shared" si="7"/>
        <v>10474199.329779502</v>
      </c>
      <c r="L8" s="10">
        <v>768</v>
      </c>
      <c r="M8" s="10">
        <v>1263</v>
      </c>
      <c r="N8" s="10">
        <v>950</v>
      </c>
      <c r="O8" s="10">
        <v>4080</v>
      </c>
      <c r="P8" s="10">
        <v>680</v>
      </c>
      <c r="Q8" s="10">
        <v>608</v>
      </c>
      <c r="R8" s="10">
        <v>72</v>
      </c>
      <c r="S8" s="10">
        <f t="shared" si="8"/>
        <v>6791</v>
      </c>
      <c r="T8" s="116">
        <v>1.75</v>
      </c>
      <c r="U8" s="10">
        <v>188</v>
      </c>
      <c r="V8" s="10">
        <v>2</v>
      </c>
      <c r="W8" s="10">
        <v>0</v>
      </c>
      <c r="X8" s="10">
        <v>0</v>
      </c>
      <c r="Y8" s="3">
        <f t="shared" si="9"/>
        <v>10065527.462708557</v>
      </c>
      <c r="Z8" s="10"/>
      <c r="AA8" s="12">
        <f t="shared" si="0"/>
        <v>0</v>
      </c>
      <c r="AB8" s="12">
        <v>0</v>
      </c>
      <c r="AC8" s="12">
        <f t="shared" si="1"/>
        <v>0</v>
      </c>
      <c r="AD8" s="12">
        <v>579</v>
      </c>
      <c r="AE8" s="12">
        <v>1060</v>
      </c>
      <c r="AF8" s="12">
        <v>864</v>
      </c>
      <c r="AG8" s="12">
        <v>3285</v>
      </c>
      <c r="AH8" s="12">
        <v>537</v>
      </c>
      <c r="AI8" s="12">
        <f t="shared" si="10"/>
        <v>5461</v>
      </c>
      <c r="AJ8" s="12">
        <f t="shared" si="2"/>
        <v>8342230.7171938717</v>
      </c>
      <c r="AK8" s="12">
        <f t="shared" si="3"/>
        <v>0</v>
      </c>
      <c r="AL8" s="12">
        <f t="shared" si="11"/>
        <v>0</v>
      </c>
      <c r="AM8" s="7"/>
      <c r="AN8" s="117"/>
      <c r="AO8" s="7"/>
      <c r="AP8" s="10">
        <v>828</v>
      </c>
      <c r="AQ8" s="10">
        <f t="shared" si="4"/>
        <v>592</v>
      </c>
      <c r="AR8" s="10"/>
      <c r="AS8" s="10">
        <f t="shared" si="5"/>
        <v>0</v>
      </c>
      <c r="AT8" s="10">
        <f t="shared" si="6"/>
        <v>0</v>
      </c>
      <c r="AU8" s="10">
        <f t="shared" si="12"/>
        <v>0</v>
      </c>
      <c r="AV8" s="10">
        <f>'Tulumaks 2021-2024'!J8*0.0188*'Tulumaks 2021-2024'!J$85</f>
        <v>145742.44676939014</v>
      </c>
      <c r="AW8" s="10">
        <v>18</v>
      </c>
      <c r="AX8" s="10">
        <f t="shared" si="13"/>
        <v>0</v>
      </c>
      <c r="AY8" s="10">
        <f>SUM('Tulumaks 2021-2024'!H8:I8)</f>
        <v>3542582.82</v>
      </c>
      <c r="AZ8" s="10">
        <v>5606087</v>
      </c>
      <c r="BA8" s="10">
        <f t="shared" si="14"/>
        <v>20334.908180385795</v>
      </c>
      <c r="BB8" s="10"/>
      <c r="BC8" s="10">
        <f t="shared" si="15"/>
        <v>20927</v>
      </c>
      <c r="BD8" s="10">
        <v>828</v>
      </c>
      <c r="BE8" s="10">
        <f t="shared" si="16"/>
        <v>20099</v>
      </c>
      <c r="BF8" s="5"/>
      <c r="BG8" s="5"/>
      <c r="BH8" s="112"/>
      <c r="BI8" s="112"/>
      <c r="BL8" s="56"/>
      <c r="BM8" s="56"/>
    </row>
    <row r="9" spans="1:65" ht="15" x14ac:dyDescent="0.25">
      <c r="A9" s="20" t="s">
        <v>69</v>
      </c>
      <c r="B9" s="21" t="s">
        <v>134</v>
      </c>
      <c r="C9" s="21" t="s">
        <v>78</v>
      </c>
      <c r="D9" s="10">
        <f>'Tulumaks 2021-2024'!D9*0.025*'Tulumaks 2021-2024'!D$85</f>
        <v>249532.44011380605</v>
      </c>
      <c r="E9" s="10">
        <f>'Tulumaks 2021-2024'!E9*0.025*'Tulumaks 2021-2024'!E$85</f>
        <v>261497.9076288662</v>
      </c>
      <c r="F9" s="10">
        <f>'Tulumaks 2021-2024'!F9*0.025*'Tulumaks 2021-2024'!F$85</f>
        <v>305735.07927977981</v>
      </c>
      <c r="G9" s="10">
        <v>7587430.5183946481</v>
      </c>
      <c r="H9" s="10">
        <v>8625334.0685618725</v>
      </c>
      <c r="I9" s="10">
        <f>'Tulumaks 2021-2024'!O9/11.96*11.89</f>
        <v>9773460.7023411375</v>
      </c>
      <c r="J9" s="10">
        <v>268780.62779999973</v>
      </c>
      <c r="K9" s="4">
        <f t="shared" si="7"/>
        <v>9541820.7031693719</v>
      </c>
      <c r="L9" s="10">
        <v>747</v>
      </c>
      <c r="M9" s="10">
        <v>1230</v>
      </c>
      <c r="N9" s="10">
        <v>979</v>
      </c>
      <c r="O9" s="10">
        <v>4525</v>
      </c>
      <c r="P9" s="10">
        <v>1291</v>
      </c>
      <c r="Q9" s="10">
        <v>1114</v>
      </c>
      <c r="R9" s="10">
        <v>177</v>
      </c>
      <c r="S9" s="10">
        <f t="shared" si="8"/>
        <v>7793</v>
      </c>
      <c r="T9" s="116">
        <v>1.93</v>
      </c>
      <c r="U9" s="10">
        <v>147</v>
      </c>
      <c r="V9" s="10">
        <v>4</v>
      </c>
      <c r="W9" s="10">
        <v>2</v>
      </c>
      <c r="X9" s="10">
        <v>1</v>
      </c>
      <c r="Y9" s="3">
        <f t="shared" si="9"/>
        <v>11177537.733420217</v>
      </c>
      <c r="Z9" s="10"/>
      <c r="AA9" s="12">
        <f t="shared" si="0"/>
        <v>1472145</v>
      </c>
      <c r="AB9" s="12">
        <v>0</v>
      </c>
      <c r="AC9" s="12">
        <f t="shared" si="1"/>
        <v>1472145</v>
      </c>
      <c r="AD9" s="12">
        <v>623</v>
      </c>
      <c r="AE9" s="12">
        <v>1047</v>
      </c>
      <c r="AF9" s="12">
        <v>838</v>
      </c>
      <c r="AG9" s="12">
        <v>4297</v>
      </c>
      <c r="AH9" s="12">
        <v>1256</v>
      </c>
      <c r="AI9" s="12">
        <f t="shared" si="10"/>
        <v>7223</v>
      </c>
      <c r="AJ9" s="12">
        <f t="shared" si="2"/>
        <v>9994936.7294964511</v>
      </c>
      <c r="AK9" s="12">
        <f t="shared" si="3"/>
        <v>407804</v>
      </c>
      <c r="AL9" s="12">
        <f t="shared" si="11"/>
        <v>0</v>
      </c>
      <c r="AM9" s="7"/>
      <c r="AN9" s="117"/>
      <c r="AO9" s="7"/>
      <c r="AP9" s="10">
        <v>2018</v>
      </c>
      <c r="AQ9" s="10">
        <f t="shared" si="4"/>
        <v>1443</v>
      </c>
      <c r="AR9" s="10">
        <v>4</v>
      </c>
      <c r="AS9" s="10">
        <f t="shared" si="5"/>
        <v>27840</v>
      </c>
      <c r="AT9" s="10">
        <f t="shared" si="6"/>
        <v>0</v>
      </c>
      <c r="AU9" s="10">
        <f t="shared" si="12"/>
        <v>0</v>
      </c>
      <c r="AV9" s="10">
        <f>'Tulumaks 2021-2024'!J9*0.0188*'Tulumaks 2021-2024'!J$85</f>
        <v>260836.24882753103</v>
      </c>
      <c r="AW9" s="10">
        <v>59</v>
      </c>
      <c r="AX9" s="10">
        <f t="shared" si="13"/>
        <v>0</v>
      </c>
      <c r="AY9" s="10">
        <f>SUM('Tulumaks 2021-2024'!H9:I9)</f>
        <v>6300279.3499999996</v>
      </c>
      <c r="AZ9" s="10">
        <v>4981329</v>
      </c>
      <c r="BA9" s="10">
        <f t="shared" si="14"/>
        <v>28963.726720079481</v>
      </c>
      <c r="BB9" s="10"/>
      <c r="BC9" s="10">
        <f t="shared" si="15"/>
        <v>1530392</v>
      </c>
      <c r="BD9" s="10">
        <v>1464536</v>
      </c>
      <c r="BE9" s="10">
        <f t="shared" si="16"/>
        <v>65856</v>
      </c>
      <c r="BF9" s="5"/>
      <c r="BG9" s="5"/>
      <c r="BH9" s="112"/>
      <c r="BI9" s="112"/>
      <c r="BL9" s="56"/>
      <c r="BM9" s="56"/>
    </row>
    <row r="10" spans="1:65" ht="15" x14ac:dyDescent="0.25">
      <c r="A10" s="20" t="s">
        <v>69</v>
      </c>
      <c r="B10" s="21" t="s">
        <v>133</v>
      </c>
      <c r="C10" s="21" t="s">
        <v>84</v>
      </c>
      <c r="D10" s="10">
        <f>'Tulumaks 2021-2024'!D10*0.025*'Tulumaks 2021-2024'!D$85</f>
        <v>261808.20376120359</v>
      </c>
      <c r="E10" s="10">
        <f>'Tulumaks 2021-2024'!E10*0.025*'Tulumaks 2021-2024'!E$85</f>
        <v>284643.87959021813</v>
      </c>
      <c r="F10" s="10">
        <f>'Tulumaks 2021-2024'!F10*0.025*'Tulumaks 2021-2024'!F$85</f>
        <v>334948.67569470388</v>
      </c>
      <c r="G10" s="10">
        <v>6613897.9966555182</v>
      </c>
      <c r="H10" s="10">
        <v>7451416.2750836127</v>
      </c>
      <c r="I10" s="10">
        <f>'Tulumaks 2021-2024'!O10/11.96*11.89</f>
        <v>8233663.9481605347</v>
      </c>
      <c r="J10" s="10">
        <v>464045.56501195626</v>
      </c>
      <c r="K10" s="4">
        <f t="shared" si="7"/>
        <v>8444311.1634250693</v>
      </c>
      <c r="L10" s="10">
        <v>488</v>
      </c>
      <c r="M10" s="10">
        <v>999</v>
      </c>
      <c r="N10" s="10">
        <v>739</v>
      </c>
      <c r="O10" s="10">
        <v>3736</v>
      </c>
      <c r="P10" s="10">
        <v>1407</v>
      </c>
      <c r="Q10" s="10">
        <v>1227</v>
      </c>
      <c r="R10" s="10">
        <v>180</v>
      </c>
      <c r="S10" s="10">
        <f t="shared" si="8"/>
        <v>6630</v>
      </c>
      <c r="T10" s="116">
        <v>2.02</v>
      </c>
      <c r="U10" s="10">
        <v>129</v>
      </c>
      <c r="V10" s="10">
        <v>0</v>
      </c>
      <c r="W10" s="10">
        <v>1</v>
      </c>
      <c r="X10" s="10">
        <v>0</v>
      </c>
      <c r="Y10" s="3">
        <f t="shared" si="9"/>
        <v>8957586.6481936015</v>
      </c>
      <c r="Z10" s="10"/>
      <c r="AA10" s="12">
        <f t="shared" si="0"/>
        <v>461948</v>
      </c>
      <c r="AB10" s="12">
        <v>0</v>
      </c>
      <c r="AC10" s="12">
        <f t="shared" si="1"/>
        <v>461948</v>
      </c>
      <c r="AD10" s="12">
        <v>475</v>
      </c>
      <c r="AE10" s="12">
        <v>968</v>
      </c>
      <c r="AF10" s="12">
        <v>783</v>
      </c>
      <c r="AG10" s="12">
        <v>3853</v>
      </c>
      <c r="AH10" s="12">
        <v>1225</v>
      </c>
      <c r="AI10" s="12">
        <f t="shared" si="10"/>
        <v>6521</v>
      </c>
      <c r="AJ10" s="12">
        <f t="shared" si="2"/>
        <v>8928759.31375557</v>
      </c>
      <c r="AK10" s="12">
        <f t="shared" si="3"/>
        <v>436003</v>
      </c>
      <c r="AL10" s="12">
        <f t="shared" si="11"/>
        <v>0</v>
      </c>
      <c r="AM10" s="10">
        <f>SUMIF(AK$92:AK$108,C10,AM$92:AM$108)</f>
        <v>5</v>
      </c>
      <c r="AN10" s="117">
        <f>SUMIF(AK$92:AK$108,C10,AN$92:AN$108)</f>
        <v>4.7</v>
      </c>
      <c r="AO10" s="12">
        <f>ROUND((AM10*M$100+AN10*M$101),0)+SUMIF(AK$92:AK$108,C10,AO$92:AO$108)</f>
        <v>21556.271977729099</v>
      </c>
      <c r="AP10" s="10">
        <v>6054</v>
      </c>
      <c r="AQ10" s="10">
        <f t="shared" si="4"/>
        <v>4329</v>
      </c>
      <c r="AR10" s="10">
        <v>6</v>
      </c>
      <c r="AS10" s="10">
        <f t="shared" si="5"/>
        <v>41760</v>
      </c>
      <c r="AT10" s="10">
        <f t="shared" si="6"/>
        <v>0</v>
      </c>
      <c r="AU10" s="10">
        <f t="shared" si="12"/>
        <v>0</v>
      </c>
      <c r="AV10" s="10">
        <f>'Tulumaks 2021-2024'!J10*0.0188*'Tulumaks 2021-2024'!J$85</f>
        <v>285759.67247123126</v>
      </c>
      <c r="AW10" s="10">
        <v>64</v>
      </c>
      <c r="AX10" s="10">
        <f t="shared" si="13"/>
        <v>0</v>
      </c>
      <c r="AY10" s="10">
        <f>SUM('Tulumaks 2021-2024'!H10:I10)</f>
        <v>6912081.0200000005</v>
      </c>
      <c r="AZ10" s="10">
        <v>4208175</v>
      </c>
      <c r="BA10" s="10">
        <f t="shared" si="14"/>
        <v>29962.149392280364</v>
      </c>
      <c r="BB10" s="10"/>
      <c r="BC10" s="10">
        <f t="shared" si="15"/>
        <v>559555</v>
      </c>
      <c r="BD10" s="10">
        <v>563393</v>
      </c>
      <c r="BE10" s="10">
        <f t="shared" si="16"/>
        <v>-3838</v>
      </c>
      <c r="BF10" s="5"/>
      <c r="BG10" s="5"/>
      <c r="BH10" s="112"/>
      <c r="BI10" s="112"/>
      <c r="BL10" s="56"/>
      <c r="BM10" s="56"/>
    </row>
    <row r="11" spans="1:65" ht="15" x14ac:dyDescent="0.25">
      <c r="A11" s="20" t="s">
        <v>69</v>
      </c>
      <c r="B11" s="21" t="s">
        <v>83</v>
      </c>
      <c r="C11" s="21" t="s">
        <v>83</v>
      </c>
      <c r="D11" s="10">
        <f>'Tulumaks 2021-2024'!D11*0.025*'Tulumaks 2021-2024'!D$85</f>
        <v>136077.84597816397</v>
      </c>
      <c r="E11" s="10">
        <f>'Tulumaks 2021-2024'!E11*0.025*'Tulumaks 2021-2024'!E$85</f>
        <v>146956.57600257723</v>
      </c>
      <c r="F11" s="10">
        <f>'Tulumaks 2021-2024'!F11*0.025*'Tulumaks 2021-2024'!F$85</f>
        <v>171316.41645086557</v>
      </c>
      <c r="G11" s="10">
        <v>1711008.7775919731</v>
      </c>
      <c r="H11" s="10">
        <v>1864373.8712374582</v>
      </c>
      <c r="I11" s="10">
        <f>'Tulumaks 2021-2024'!O11/11.96*11.89</f>
        <v>2019407.1438127088</v>
      </c>
      <c r="J11" s="10">
        <v>59820.592825000014</v>
      </c>
      <c r="K11" s="4">
        <f t="shared" si="7"/>
        <v>2127998.8318428253</v>
      </c>
      <c r="L11" s="10">
        <v>81</v>
      </c>
      <c r="M11" s="10">
        <v>231</v>
      </c>
      <c r="N11" s="10">
        <v>168</v>
      </c>
      <c r="O11" s="10">
        <v>1351</v>
      </c>
      <c r="P11" s="10">
        <v>790</v>
      </c>
      <c r="Q11" s="10">
        <v>684</v>
      </c>
      <c r="R11" s="10">
        <v>106</v>
      </c>
      <c r="S11" s="10">
        <f t="shared" si="8"/>
        <v>2453</v>
      </c>
      <c r="T11" s="116">
        <v>1.38</v>
      </c>
      <c r="U11" s="10">
        <v>27</v>
      </c>
      <c r="V11" s="10"/>
      <c r="W11" s="10">
        <v>7</v>
      </c>
      <c r="X11" s="10">
        <v>0</v>
      </c>
      <c r="Y11" s="3">
        <f t="shared" si="9"/>
        <v>2726681.1979310671</v>
      </c>
      <c r="Z11" s="10"/>
      <c r="AA11" s="12">
        <f t="shared" si="0"/>
        <v>538814</v>
      </c>
      <c r="AB11" s="12">
        <v>0</v>
      </c>
      <c r="AC11" s="12">
        <f t="shared" si="1"/>
        <v>538814</v>
      </c>
      <c r="AD11" s="12">
        <v>109</v>
      </c>
      <c r="AE11" s="12">
        <v>267</v>
      </c>
      <c r="AF11" s="12">
        <v>193</v>
      </c>
      <c r="AG11" s="12">
        <v>1602</v>
      </c>
      <c r="AH11" s="12">
        <v>703</v>
      </c>
      <c r="AI11" s="12">
        <f t="shared" si="10"/>
        <v>2681</v>
      </c>
      <c r="AJ11" s="12">
        <f t="shared" si="2"/>
        <v>2994183.5229846239</v>
      </c>
      <c r="AK11" s="12">
        <f t="shared" si="3"/>
        <v>779566</v>
      </c>
      <c r="AL11" s="12">
        <f t="shared" si="11"/>
        <v>48150.400000000001</v>
      </c>
      <c r="AM11" s="7"/>
      <c r="AN11" s="117"/>
      <c r="AO11" s="7"/>
      <c r="AP11" s="10">
        <v>0</v>
      </c>
      <c r="AQ11" s="10">
        <f t="shared" si="4"/>
        <v>0</v>
      </c>
      <c r="AR11" s="10"/>
      <c r="AS11" s="10">
        <f t="shared" si="5"/>
        <v>0</v>
      </c>
      <c r="AT11" s="10">
        <f t="shared" si="6"/>
        <v>0</v>
      </c>
      <c r="AU11" s="10">
        <f t="shared" si="12"/>
        <v>0</v>
      </c>
      <c r="AV11" s="10">
        <f>'Tulumaks 2021-2024'!J11*0.0188*'Tulumaks 2021-2024'!J$85</f>
        <v>146157.68506147421</v>
      </c>
      <c r="AW11" s="10">
        <v>21</v>
      </c>
      <c r="AX11" s="10">
        <f t="shared" si="13"/>
        <v>0</v>
      </c>
      <c r="AY11" s="10">
        <f>SUM('Tulumaks 2021-2024'!H11:I11)</f>
        <v>3521546.6399999997</v>
      </c>
      <c r="AZ11" s="10">
        <v>1041871</v>
      </c>
      <c r="BA11" s="10">
        <f t="shared" si="14"/>
        <v>13674.273155362764</v>
      </c>
      <c r="BB11" s="10"/>
      <c r="BC11" s="10">
        <f t="shared" si="15"/>
        <v>600639</v>
      </c>
      <c r="BD11" s="10">
        <v>387870</v>
      </c>
      <c r="BE11" s="10">
        <f t="shared" si="16"/>
        <v>212769</v>
      </c>
      <c r="BF11" s="5"/>
      <c r="BG11" s="5"/>
      <c r="BH11" s="112"/>
      <c r="BI11" s="112"/>
      <c r="BL11" s="56"/>
      <c r="BM11" s="56"/>
    </row>
    <row r="12" spans="1:65" ht="15" x14ac:dyDescent="0.25">
      <c r="A12" s="20" t="s">
        <v>69</v>
      </c>
      <c r="B12" s="21" t="s">
        <v>231</v>
      </c>
      <c r="C12" s="21" t="s">
        <v>82</v>
      </c>
      <c r="D12" s="10">
        <f>'Tulumaks 2021-2024'!D12*0.025*'Tulumaks 2021-2024'!D$85</f>
        <v>496910.4091801921</v>
      </c>
      <c r="E12" s="10">
        <f>'Tulumaks 2021-2024'!E12*0.025*'Tulumaks 2021-2024'!E$85</f>
        <v>534900.80179514131</v>
      </c>
      <c r="F12" s="10">
        <f>'Tulumaks 2021-2024'!F12*0.025*'Tulumaks 2021-2024'!F$85</f>
        <v>635257.95902094909</v>
      </c>
      <c r="G12" s="10">
        <v>12576232.94063545</v>
      </c>
      <c r="H12" s="10">
        <v>14454811.186454847</v>
      </c>
      <c r="I12" s="10">
        <f>'Tulumaks 2021-2024'!O12/11.96*11.89</f>
        <v>16046538.211538462</v>
      </c>
      <c r="J12" s="10">
        <v>910512.01432499732</v>
      </c>
      <c r="K12" s="4">
        <f t="shared" si="7"/>
        <v>16362952.366042828</v>
      </c>
      <c r="L12" s="10">
        <v>953</v>
      </c>
      <c r="M12" s="10">
        <v>1838</v>
      </c>
      <c r="N12" s="10">
        <v>1374</v>
      </c>
      <c r="O12" s="10">
        <v>8181</v>
      </c>
      <c r="P12" s="10">
        <v>2800</v>
      </c>
      <c r="Q12" s="10">
        <v>2480</v>
      </c>
      <c r="R12" s="10">
        <v>320</v>
      </c>
      <c r="S12" s="10">
        <f t="shared" si="8"/>
        <v>13772</v>
      </c>
      <c r="T12" s="116">
        <v>1.79</v>
      </c>
      <c r="U12" s="10">
        <v>179</v>
      </c>
      <c r="V12" s="10">
        <v>23</v>
      </c>
      <c r="W12" s="10">
        <v>15</v>
      </c>
      <c r="X12" s="10">
        <v>1</v>
      </c>
      <c r="Y12" s="3">
        <f t="shared" si="9"/>
        <v>17468164.573449485</v>
      </c>
      <c r="Z12" s="10"/>
      <c r="AA12" s="12">
        <f t="shared" si="0"/>
        <v>994691</v>
      </c>
      <c r="AB12" s="12">
        <v>301842.18199015356</v>
      </c>
      <c r="AC12" s="12">
        <f t="shared" si="1"/>
        <v>1296533.1819901536</v>
      </c>
      <c r="AD12" s="12">
        <v>915</v>
      </c>
      <c r="AE12" s="12">
        <v>1697</v>
      </c>
      <c r="AF12" s="12">
        <v>1266</v>
      </c>
      <c r="AG12" s="12">
        <v>7806</v>
      </c>
      <c r="AH12" s="12">
        <v>2447</v>
      </c>
      <c r="AI12" s="12">
        <f t="shared" si="10"/>
        <v>12865</v>
      </c>
      <c r="AJ12" s="12">
        <f t="shared" si="2"/>
        <v>16401287.715423206</v>
      </c>
      <c r="AK12" s="12">
        <f t="shared" si="3"/>
        <v>34502</v>
      </c>
      <c r="AL12" s="12">
        <f t="shared" si="11"/>
        <v>0</v>
      </c>
      <c r="AM12" s="10">
        <f>SUMIF(AK$92:AK$108,C12,AM$92:AM$108)</f>
        <v>8</v>
      </c>
      <c r="AN12" s="117">
        <f>SUMIF(AK$92:AK$108,C12,AN$92:AN$108)</f>
        <v>4</v>
      </c>
      <c r="AO12" s="12">
        <f>ROUND((AM12*M$100+AN12*M$101),0)+SUMIF(AK$92:AK$108,C12,AO$92:AO$108)</f>
        <v>21823.271977729099</v>
      </c>
      <c r="AP12" s="10">
        <v>6708</v>
      </c>
      <c r="AQ12" s="10">
        <f t="shared" si="4"/>
        <v>4796</v>
      </c>
      <c r="AR12" s="10"/>
      <c r="AS12" s="10">
        <f t="shared" si="5"/>
        <v>0</v>
      </c>
      <c r="AT12" s="10">
        <f t="shared" si="6"/>
        <v>0</v>
      </c>
      <c r="AU12" s="10">
        <f t="shared" si="12"/>
        <v>0</v>
      </c>
      <c r="AV12" s="10">
        <f>'Tulumaks 2021-2024'!J12*0.0188*'Tulumaks 2021-2024'!J$85</f>
        <v>541966.93248021568</v>
      </c>
      <c r="AW12" s="10">
        <v>98</v>
      </c>
      <c r="AX12" s="10">
        <f t="shared" si="13"/>
        <v>0</v>
      </c>
      <c r="AY12" s="10">
        <f>SUM('Tulumaks 2021-2024'!H12:I12)</f>
        <v>13107384.48</v>
      </c>
      <c r="AZ12" s="10">
        <v>8113715</v>
      </c>
      <c r="BA12" s="10">
        <f t="shared" si="14"/>
        <v>57010.299103562902</v>
      </c>
      <c r="BB12" s="10"/>
      <c r="BC12" s="10">
        <f t="shared" si="15"/>
        <v>1380163</v>
      </c>
      <c r="BD12" s="10">
        <v>1206753</v>
      </c>
      <c r="BE12" s="10">
        <f t="shared" si="16"/>
        <v>173410</v>
      </c>
      <c r="BF12" s="5"/>
      <c r="BG12" s="5"/>
      <c r="BH12" s="112"/>
      <c r="BI12" s="112"/>
      <c r="BL12" s="56"/>
      <c r="BM12" s="56"/>
    </row>
    <row r="13" spans="1:65" ht="15" x14ac:dyDescent="0.25">
      <c r="A13" s="20" t="s">
        <v>69</v>
      </c>
      <c r="B13" s="21" t="s">
        <v>68</v>
      </c>
      <c r="C13" s="21" t="s">
        <v>68</v>
      </c>
      <c r="D13" s="10">
        <f>'Tulumaks 2021-2024'!D13*0.025*'Tulumaks 2021-2024'!D$85</f>
        <v>621908.76021674275</v>
      </c>
      <c r="E13" s="10">
        <f>'Tulumaks 2021-2024'!E13*0.025*'Tulumaks 2021-2024'!E$85</f>
        <v>672409.32468212128</v>
      </c>
      <c r="F13" s="10">
        <f>'Tulumaks 2021-2024'!F13*0.025*'Tulumaks 2021-2024'!F$85</f>
        <v>803321.04485981725</v>
      </c>
      <c r="G13" s="10">
        <v>13726932.427257525</v>
      </c>
      <c r="H13" s="10">
        <v>15402243.368729096</v>
      </c>
      <c r="I13" s="10">
        <f>'Tulumaks 2021-2024'!O13/11.96*11.89</f>
        <v>16864329.62792642</v>
      </c>
      <c r="J13" s="10">
        <v>1800018.4144249938</v>
      </c>
      <c r="K13" s="4">
        <f t="shared" si="7"/>
        <v>18326007.79633633</v>
      </c>
      <c r="L13" s="10">
        <v>934</v>
      </c>
      <c r="M13" s="10">
        <v>2052</v>
      </c>
      <c r="N13" s="10">
        <v>1550</v>
      </c>
      <c r="O13" s="10">
        <v>9707</v>
      </c>
      <c r="P13" s="10">
        <v>3562</v>
      </c>
      <c r="Q13" s="10">
        <v>3242</v>
      </c>
      <c r="R13" s="10">
        <v>320</v>
      </c>
      <c r="S13" s="10">
        <f t="shared" si="8"/>
        <v>16255</v>
      </c>
      <c r="T13" s="116">
        <v>1.02</v>
      </c>
      <c r="U13" s="10">
        <v>264</v>
      </c>
      <c r="V13" s="10">
        <v>22</v>
      </c>
      <c r="W13" s="10">
        <v>5</v>
      </c>
      <c r="X13" s="10">
        <v>1</v>
      </c>
      <c r="Y13" s="3">
        <f t="shared" si="9"/>
        <v>17940460.704603694</v>
      </c>
      <c r="Z13" s="10"/>
      <c r="AA13" s="12">
        <f t="shared" si="0"/>
        <v>0</v>
      </c>
      <c r="AB13" s="12">
        <v>0</v>
      </c>
      <c r="AC13" s="12">
        <f t="shared" si="1"/>
        <v>0</v>
      </c>
      <c r="AD13" s="12">
        <v>1044</v>
      </c>
      <c r="AE13" s="12">
        <v>1768</v>
      </c>
      <c r="AF13" s="12">
        <v>1339</v>
      </c>
      <c r="AG13" s="12">
        <v>10231</v>
      </c>
      <c r="AH13" s="12">
        <v>2938</v>
      </c>
      <c r="AI13" s="12">
        <f t="shared" si="10"/>
        <v>15981</v>
      </c>
      <c r="AJ13" s="12">
        <f t="shared" si="2"/>
        <v>17619802.654330481</v>
      </c>
      <c r="AK13" s="12">
        <f t="shared" si="3"/>
        <v>0</v>
      </c>
      <c r="AL13" s="12">
        <f t="shared" si="11"/>
        <v>0</v>
      </c>
      <c r="AM13" s="7"/>
      <c r="AN13" s="117"/>
      <c r="AO13" s="7"/>
      <c r="AP13" s="10">
        <v>0</v>
      </c>
      <c r="AQ13" s="10">
        <f t="shared" si="4"/>
        <v>0</v>
      </c>
      <c r="AR13" s="10"/>
      <c r="AS13" s="10">
        <f t="shared" si="5"/>
        <v>0</v>
      </c>
      <c r="AT13" s="10">
        <f t="shared" si="6"/>
        <v>0</v>
      </c>
      <c r="AU13" s="10">
        <f t="shared" si="12"/>
        <v>0</v>
      </c>
      <c r="AV13" s="10">
        <f>'Tulumaks 2021-2024'!J13*0.0188*'Tulumaks 2021-2024'!J$85</f>
        <v>685349.05591811636</v>
      </c>
      <c r="AW13" s="10">
        <v>61</v>
      </c>
      <c r="AX13" s="10">
        <f t="shared" si="13"/>
        <v>0</v>
      </c>
      <c r="AY13" s="10">
        <f>SUM('Tulumaks 2021-2024'!H13:I13)</f>
        <v>16625640.419999998</v>
      </c>
      <c r="AZ13" s="10">
        <v>8612199</v>
      </c>
      <c r="BA13" s="10">
        <f t="shared" si="14"/>
        <v>69888.881401584877</v>
      </c>
      <c r="BB13" s="10"/>
      <c r="BC13" s="10">
        <f t="shared" si="15"/>
        <v>69889</v>
      </c>
      <c r="BD13" s="10">
        <v>0</v>
      </c>
      <c r="BE13" s="10">
        <f t="shared" si="16"/>
        <v>69889</v>
      </c>
      <c r="BF13" s="5"/>
      <c r="BG13" s="5"/>
      <c r="BH13" s="112"/>
      <c r="BI13" s="112"/>
      <c r="BL13" s="56"/>
      <c r="BM13" s="56"/>
    </row>
    <row r="14" spans="1:65" ht="15" x14ac:dyDescent="0.25">
      <c r="A14" s="20" t="s">
        <v>69</v>
      </c>
      <c r="B14" s="21" t="s">
        <v>132</v>
      </c>
      <c r="C14" s="21" t="s">
        <v>73</v>
      </c>
      <c r="D14" s="10">
        <f>'Tulumaks 2021-2024'!D14*0.025*'Tulumaks 2021-2024'!D$85</f>
        <v>163713.1797808194</v>
      </c>
      <c r="E14" s="10">
        <f>'Tulumaks 2021-2024'!E14*0.025*'Tulumaks 2021-2024'!E$85</f>
        <v>177015.81180032017</v>
      </c>
      <c r="F14" s="10">
        <f>'Tulumaks 2021-2024'!F14*0.025*'Tulumaks 2021-2024'!F$85</f>
        <v>205164.87195111171</v>
      </c>
      <c r="G14" s="10">
        <v>5959316.7132107019</v>
      </c>
      <c r="H14" s="10">
        <v>6738399.0217391308</v>
      </c>
      <c r="I14" s="10">
        <f>'Tulumaks 2021-2024'!O14/11.96*11.89</f>
        <v>7528867.2976588625</v>
      </c>
      <c r="J14" s="10">
        <v>151266.50204999975</v>
      </c>
      <c r="K14" s="4">
        <f t="shared" si="7"/>
        <v>7317513.0155151263</v>
      </c>
      <c r="L14" s="10">
        <v>528</v>
      </c>
      <c r="M14" s="10">
        <v>912</v>
      </c>
      <c r="N14" s="10">
        <v>690</v>
      </c>
      <c r="O14" s="10">
        <v>3085</v>
      </c>
      <c r="P14" s="10">
        <v>844</v>
      </c>
      <c r="Q14" s="10">
        <v>743</v>
      </c>
      <c r="R14" s="10">
        <v>101</v>
      </c>
      <c r="S14" s="10">
        <f t="shared" si="8"/>
        <v>5369</v>
      </c>
      <c r="T14" s="116">
        <v>1.54</v>
      </c>
      <c r="U14" s="10">
        <v>117</v>
      </c>
      <c r="V14" s="10">
        <v>5</v>
      </c>
      <c r="W14" s="10">
        <v>5</v>
      </c>
      <c r="X14" s="10">
        <v>0</v>
      </c>
      <c r="Y14" s="3">
        <f t="shared" si="9"/>
        <v>7493734.2893422283</v>
      </c>
      <c r="Z14" s="10"/>
      <c r="AA14" s="12">
        <f t="shared" si="0"/>
        <v>158599</v>
      </c>
      <c r="AB14" s="12">
        <v>0</v>
      </c>
      <c r="AC14" s="12">
        <f t="shared" si="1"/>
        <v>158599</v>
      </c>
      <c r="AD14" s="12">
        <v>448</v>
      </c>
      <c r="AE14" s="12">
        <v>824</v>
      </c>
      <c r="AF14" s="12">
        <v>673</v>
      </c>
      <c r="AG14" s="12">
        <v>2982</v>
      </c>
      <c r="AH14" s="12">
        <v>811</v>
      </c>
      <c r="AI14" s="12">
        <f t="shared" si="10"/>
        <v>5065</v>
      </c>
      <c r="AJ14" s="12">
        <f t="shared" si="2"/>
        <v>6985574.7394685391</v>
      </c>
      <c r="AK14" s="12">
        <f t="shared" si="3"/>
        <v>0</v>
      </c>
      <c r="AL14" s="12">
        <f t="shared" si="11"/>
        <v>0</v>
      </c>
      <c r="AM14" s="7"/>
      <c r="AN14" s="117"/>
      <c r="AO14" s="7"/>
      <c r="AP14" s="10">
        <v>604</v>
      </c>
      <c r="AQ14" s="10">
        <f t="shared" si="4"/>
        <v>432</v>
      </c>
      <c r="AR14" s="10"/>
      <c r="AS14" s="10">
        <f t="shared" si="5"/>
        <v>0</v>
      </c>
      <c r="AT14" s="10">
        <f t="shared" si="6"/>
        <v>0</v>
      </c>
      <c r="AU14" s="10">
        <f t="shared" si="12"/>
        <v>0</v>
      </c>
      <c r="AV14" s="10">
        <f>'Tulumaks 2021-2024'!J14*0.0188*'Tulumaks 2021-2024'!J$85</f>
        <v>175035.31396191992</v>
      </c>
      <c r="AW14" s="10">
        <v>26</v>
      </c>
      <c r="AX14" s="10">
        <f t="shared" si="13"/>
        <v>0</v>
      </c>
      <c r="AY14" s="10">
        <f>SUM('Tulumaks 2021-2024'!H14:I14)</f>
        <v>4226662.43</v>
      </c>
      <c r="AZ14" s="10">
        <v>3857248</v>
      </c>
      <c r="BA14" s="10">
        <f t="shared" si="14"/>
        <v>20174.831175218365</v>
      </c>
      <c r="BB14" s="10"/>
      <c r="BC14" s="10">
        <f t="shared" si="15"/>
        <v>179206</v>
      </c>
      <c r="BD14" s="10">
        <v>200959</v>
      </c>
      <c r="BE14" s="10">
        <f t="shared" si="16"/>
        <v>-21753</v>
      </c>
      <c r="BF14" s="5"/>
      <c r="BG14" s="5"/>
      <c r="BH14" s="112"/>
      <c r="BI14" s="112"/>
      <c r="BL14" s="56"/>
      <c r="BM14" s="56"/>
    </row>
    <row r="15" spans="1:65" ht="15" x14ac:dyDescent="0.25">
      <c r="A15" s="20" t="s">
        <v>69</v>
      </c>
      <c r="B15" s="21" t="s">
        <v>131</v>
      </c>
      <c r="C15" s="21" t="s">
        <v>76</v>
      </c>
      <c r="D15" s="10">
        <f>'Tulumaks 2021-2024'!D15*0.025*'Tulumaks 2021-2024'!D$85</f>
        <v>354034.29638867406</v>
      </c>
      <c r="E15" s="10">
        <f>'Tulumaks 2021-2024'!E15*0.025*'Tulumaks 2021-2024'!E$85</f>
        <v>390766.10101017519</v>
      </c>
      <c r="F15" s="10">
        <f>'Tulumaks 2021-2024'!F15*0.025*'Tulumaks 2021-2024'!F$85</f>
        <v>470411.28450332762</v>
      </c>
      <c r="G15" s="10">
        <v>31852476.904682271</v>
      </c>
      <c r="H15" s="10">
        <v>37276321.105351172</v>
      </c>
      <c r="I15" s="10">
        <f>'Tulumaks 2021-2024'!O15/11.96*11.89</f>
        <v>42128805.075250834</v>
      </c>
      <c r="J15" s="10">
        <v>1001757.8675749963</v>
      </c>
      <c r="K15" s="4">
        <f t="shared" si="7"/>
        <v>40042794.449574672</v>
      </c>
      <c r="L15" s="10">
        <v>3135</v>
      </c>
      <c r="M15" s="10">
        <v>4984</v>
      </c>
      <c r="N15" s="10">
        <v>3984</v>
      </c>
      <c r="O15" s="10">
        <v>13644</v>
      </c>
      <c r="P15" s="10">
        <v>1905</v>
      </c>
      <c r="Q15" s="10">
        <v>1728</v>
      </c>
      <c r="R15" s="10">
        <v>177</v>
      </c>
      <c r="S15" s="10">
        <f t="shared" si="8"/>
        <v>23668</v>
      </c>
      <c r="T15" s="116">
        <v>1.36</v>
      </c>
      <c r="U15" s="10">
        <v>601</v>
      </c>
      <c r="V15" s="10">
        <v>1</v>
      </c>
      <c r="W15" s="10">
        <v>2</v>
      </c>
      <c r="X15" s="10">
        <v>1</v>
      </c>
      <c r="Y15" s="3">
        <f t="shared" si="9"/>
        <v>35867605.335863367</v>
      </c>
      <c r="Z15" s="10"/>
      <c r="AA15" s="12">
        <f t="shared" si="0"/>
        <v>0</v>
      </c>
      <c r="AB15" s="12">
        <v>0</v>
      </c>
      <c r="AC15" s="12">
        <f t="shared" si="1"/>
        <v>0</v>
      </c>
      <c r="AD15" s="12">
        <v>2817</v>
      </c>
      <c r="AE15" s="12">
        <v>3516</v>
      </c>
      <c r="AF15" s="12">
        <v>3031</v>
      </c>
      <c r="AG15" s="12">
        <v>11201</v>
      </c>
      <c r="AH15" s="12">
        <v>1519</v>
      </c>
      <c r="AI15" s="12">
        <f t="shared" si="10"/>
        <v>19053</v>
      </c>
      <c r="AJ15" s="12">
        <f t="shared" si="2"/>
        <v>29793836.03982909</v>
      </c>
      <c r="AK15" s="12">
        <f t="shared" si="3"/>
        <v>0</v>
      </c>
      <c r="AL15" s="12">
        <f t="shared" si="11"/>
        <v>0</v>
      </c>
      <c r="AM15" s="7"/>
      <c r="AN15" s="117"/>
      <c r="AO15" s="7"/>
      <c r="AP15" s="10">
        <v>0</v>
      </c>
      <c r="AQ15" s="10">
        <f t="shared" si="4"/>
        <v>0</v>
      </c>
      <c r="AR15" s="10"/>
      <c r="AS15" s="10">
        <f t="shared" si="5"/>
        <v>0</v>
      </c>
      <c r="AT15" s="10">
        <f t="shared" si="6"/>
        <v>0</v>
      </c>
      <c r="AU15" s="10">
        <f t="shared" si="12"/>
        <v>0</v>
      </c>
      <c r="AV15" s="10">
        <f>'Tulumaks 2021-2024'!J15*0.0188*'Tulumaks 2021-2024'!J$85</f>
        <v>401328.87317030691</v>
      </c>
      <c r="AW15" s="10">
        <v>46</v>
      </c>
      <c r="AX15" s="10">
        <f t="shared" si="13"/>
        <v>0</v>
      </c>
      <c r="AY15" s="10">
        <f>SUM('Tulumaks 2021-2024'!H15:I15)</f>
        <v>9766503.0499999989</v>
      </c>
      <c r="AZ15" s="10">
        <v>21357542</v>
      </c>
      <c r="BA15" s="10">
        <f t="shared" si="14"/>
        <v>64580.20752593613</v>
      </c>
      <c r="BB15" s="10"/>
      <c r="BC15" s="10">
        <f t="shared" si="15"/>
        <v>64580</v>
      </c>
      <c r="BD15" s="10">
        <v>0</v>
      </c>
      <c r="BE15" s="10">
        <f t="shared" si="16"/>
        <v>64580</v>
      </c>
      <c r="BF15" s="5"/>
      <c r="BG15" s="5"/>
      <c r="BH15" s="112"/>
      <c r="BI15" s="112"/>
      <c r="BL15" s="56"/>
      <c r="BM15" s="56"/>
    </row>
    <row r="16" spans="1:65" ht="15" x14ac:dyDescent="0.25">
      <c r="A16" s="20" t="s">
        <v>69</v>
      </c>
      <c r="B16" s="21" t="s">
        <v>130</v>
      </c>
      <c r="C16" s="21" t="s">
        <v>75</v>
      </c>
      <c r="D16" s="10">
        <f>'Tulumaks 2021-2024'!D16*0.025*'Tulumaks 2021-2024'!D$85</f>
        <v>299411.84314618068</v>
      </c>
      <c r="E16" s="10">
        <f>'Tulumaks 2021-2024'!E16*0.025*'Tulumaks 2021-2024'!E$85</f>
        <v>332289.77819261514</v>
      </c>
      <c r="F16" s="10">
        <f>'Tulumaks 2021-2024'!F16*0.025*'Tulumaks 2021-2024'!F$85</f>
        <v>394728.17354026146</v>
      </c>
      <c r="G16" s="10">
        <v>14329165.897993311</v>
      </c>
      <c r="H16" s="10">
        <v>16349101.928093646</v>
      </c>
      <c r="I16" s="10">
        <f>'Tulumaks 2021-2024'!O16/11.96*11.89</f>
        <v>18812687.06270903</v>
      </c>
      <c r="J16" s="10">
        <v>413221.2909000013</v>
      </c>
      <c r="K16" s="4">
        <f t="shared" si="7"/>
        <v>17947061.969138421</v>
      </c>
      <c r="L16" s="10">
        <v>1188</v>
      </c>
      <c r="M16" s="10">
        <v>2210</v>
      </c>
      <c r="N16" s="10">
        <v>1730</v>
      </c>
      <c r="O16" s="10">
        <v>6905</v>
      </c>
      <c r="P16" s="10">
        <v>1613</v>
      </c>
      <c r="Q16" s="10">
        <v>1404</v>
      </c>
      <c r="R16" s="10">
        <v>209</v>
      </c>
      <c r="S16" s="10">
        <f t="shared" si="8"/>
        <v>11916</v>
      </c>
      <c r="T16" s="116">
        <v>1.46</v>
      </c>
      <c r="U16" s="10">
        <v>320</v>
      </c>
      <c r="V16" s="10">
        <v>6</v>
      </c>
      <c r="W16" s="10">
        <v>4</v>
      </c>
      <c r="X16" s="10">
        <v>1</v>
      </c>
      <c r="Y16" s="3">
        <f t="shared" si="9"/>
        <v>16827425.345226511</v>
      </c>
      <c r="Z16" s="10"/>
      <c r="AA16" s="12">
        <f t="shared" si="0"/>
        <v>0</v>
      </c>
      <c r="AB16" s="12">
        <v>0</v>
      </c>
      <c r="AC16" s="12">
        <f t="shared" si="1"/>
        <v>0</v>
      </c>
      <c r="AD16" s="12">
        <v>1067</v>
      </c>
      <c r="AE16" s="12">
        <v>1881</v>
      </c>
      <c r="AF16" s="12">
        <v>1500</v>
      </c>
      <c r="AG16" s="12">
        <v>5899</v>
      </c>
      <c r="AH16" s="12">
        <v>1359</v>
      </c>
      <c r="AI16" s="12">
        <f t="shared" si="10"/>
        <v>10206</v>
      </c>
      <c r="AJ16" s="12">
        <f t="shared" si="2"/>
        <v>14776426.731728395</v>
      </c>
      <c r="AK16" s="12">
        <f t="shared" si="3"/>
        <v>0</v>
      </c>
      <c r="AL16" s="12">
        <f t="shared" si="11"/>
        <v>0</v>
      </c>
      <c r="AM16" s="7"/>
      <c r="AN16" s="117"/>
      <c r="AO16" s="7"/>
      <c r="AP16" s="10">
        <v>0</v>
      </c>
      <c r="AQ16" s="10">
        <f t="shared" si="4"/>
        <v>0</v>
      </c>
      <c r="AR16" s="10"/>
      <c r="AS16" s="10">
        <f t="shared" si="5"/>
        <v>0</v>
      </c>
      <c r="AT16" s="10">
        <f t="shared" si="6"/>
        <v>0</v>
      </c>
      <c r="AU16" s="10">
        <f t="shared" si="12"/>
        <v>0</v>
      </c>
      <c r="AV16" s="10">
        <f>'Tulumaks 2021-2024'!J16*0.0188*'Tulumaks 2021-2024'!J$85</f>
        <v>336760.2315551294</v>
      </c>
      <c r="AW16" s="10">
        <v>44</v>
      </c>
      <c r="AX16" s="10">
        <f t="shared" si="13"/>
        <v>0</v>
      </c>
      <c r="AY16" s="10">
        <f>SUM('Tulumaks 2021-2024'!H16:I16)</f>
        <v>8147818.8899999997</v>
      </c>
      <c r="AZ16" s="10">
        <v>9617066</v>
      </c>
      <c r="BA16" s="10">
        <f t="shared" si="14"/>
        <v>42039.981597145037</v>
      </c>
      <c r="BB16" s="10"/>
      <c r="BC16" s="10">
        <f t="shared" si="15"/>
        <v>42040</v>
      </c>
      <c r="BD16" s="10">
        <v>0</v>
      </c>
      <c r="BE16" s="10">
        <f t="shared" si="16"/>
        <v>42040</v>
      </c>
      <c r="BF16" s="5"/>
      <c r="BG16" s="5"/>
      <c r="BH16" s="112"/>
      <c r="BI16" s="112"/>
      <c r="BL16" s="56"/>
      <c r="BM16" s="56"/>
    </row>
    <row r="17" spans="1:65" ht="15" x14ac:dyDescent="0.25">
      <c r="A17" s="20" t="s">
        <v>69</v>
      </c>
      <c r="B17" s="21" t="s">
        <v>129</v>
      </c>
      <c r="C17" s="21" t="s">
        <v>80</v>
      </c>
      <c r="D17" s="10">
        <f>'Tulumaks 2021-2024'!D17*0.025*'Tulumaks 2021-2024'!D$85</f>
        <v>699696.29265535634</v>
      </c>
      <c r="E17" s="10">
        <f>'Tulumaks 2021-2024'!E17*0.025*'Tulumaks 2021-2024'!E$85</f>
        <v>756185.83963953739</v>
      </c>
      <c r="F17" s="10">
        <f>'Tulumaks 2021-2024'!F17*0.025*'Tulumaks 2021-2024'!F$85</f>
        <v>893088.21723449195</v>
      </c>
      <c r="G17" s="10">
        <v>30470375.749163877</v>
      </c>
      <c r="H17" s="10">
        <v>34996273.430602007</v>
      </c>
      <c r="I17" s="10">
        <f>'Tulumaks 2021-2024'!O17/11.96*11.89</f>
        <v>39911928.493311033</v>
      </c>
      <c r="J17" s="10">
        <v>998282.48072500306</v>
      </c>
      <c r="K17" s="4">
        <f t="shared" si="7"/>
        <v>38360543.025434077</v>
      </c>
      <c r="L17" s="10">
        <v>2608</v>
      </c>
      <c r="M17" s="10">
        <v>4593</v>
      </c>
      <c r="N17" s="10">
        <v>3585</v>
      </c>
      <c r="O17" s="10">
        <v>15018</v>
      </c>
      <c r="P17" s="10">
        <v>3678</v>
      </c>
      <c r="Q17" s="10">
        <v>3218</v>
      </c>
      <c r="R17" s="10">
        <v>460</v>
      </c>
      <c r="S17" s="10">
        <f t="shared" si="8"/>
        <v>25897</v>
      </c>
      <c r="T17" s="116">
        <v>1.41</v>
      </c>
      <c r="U17" s="10">
        <v>392</v>
      </c>
      <c r="V17" s="10">
        <v>11</v>
      </c>
      <c r="W17" s="10">
        <v>9</v>
      </c>
      <c r="X17" s="10">
        <v>0</v>
      </c>
      <c r="Y17" s="3">
        <f t="shared" si="9"/>
        <v>35388049.663339846</v>
      </c>
      <c r="Z17" s="10"/>
      <c r="AA17" s="12">
        <f t="shared" si="0"/>
        <v>0</v>
      </c>
      <c r="AB17" s="12">
        <v>352335.75362703623</v>
      </c>
      <c r="AC17" s="12">
        <f t="shared" si="1"/>
        <v>352335.75362703623</v>
      </c>
      <c r="AD17" s="12">
        <v>2166</v>
      </c>
      <c r="AE17" s="12">
        <v>3724</v>
      </c>
      <c r="AF17" s="12">
        <v>3034</v>
      </c>
      <c r="AG17" s="12">
        <v>13129</v>
      </c>
      <c r="AH17" s="12">
        <v>3285</v>
      </c>
      <c r="AI17" s="12">
        <f t="shared" si="10"/>
        <v>22304</v>
      </c>
      <c r="AJ17" s="12">
        <f t="shared" si="2"/>
        <v>30357576.441597402</v>
      </c>
      <c r="AK17" s="12">
        <f t="shared" si="3"/>
        <v>0</v>
      </c>
      <c r="AL17" s="12">
        <f t="shared" si="11"/>
        <v>0</v>
      </c>
      <c r="AM17" s="7"/>
      <c r="AN17" s="117"/>
      <c r="AO17" s="7"/>
      <c r="AP17" s="10">
        <v>0</v>
      </c>
      <c r="AQ17" s="10">
        <f t="shared" si="4"/>
        <v>0</v>
      </c>
      <c r="AR17" s="10"/>
      <c r="AS17" s="10">
        <f t="shared" si="5"/>
        <v>0</v>
      </c>
      <c r="AT17" s="10">
        <f t="shared" si="6"/>
        <v>0</v>
      </c>
      <c r="AU17" s="10">
        <f t="shared" si="12"/>
        <v>0</v>
      </c>
      <c r="AV17" s="10">
        <f>'Tulumaks 2021-2024'!J17*0.0188*'Tulumaks 2021-2024'!J$85</f>
        <v>761933.43925162894</v>
      </c>
      <c r="AW17" s="10">
        <v>114</v>
      </c>
      <c r="AX17" s="10">
        <f t="shared" si="13"/>
        <v>0</v>
      </c>
      <c r="AY17" s="10">
        <f>SUM('Tulumaks 2021-2024'!H17:I17)</f>
        <v>18448011.939999998</v>
      </c>
      <c r="AZ17" s="10">
        <v>20245389</v>
      </c>
      <c r="BA17" s="10">
        <f t="shared" si="14"/>
        <v>92978.194607654557</v>
      </c>
      <c r="BB17" s="10"/>
      <c r="BC17" s="10">
        <f t="shared" si="15"/>
        <v>445314</v>
      </c>
      <c r="BD17" s="10">
        <v>352336</v>
      </c>
      <c r="BE17" s="10">
        <f t="shared" si="16"/>
        <v>92978</v>
      </c>
      <c r="BF17" s="5"/>
      <c r="BG17" s="5"/>
      <c r="BH17" s="112"/>
      <c r="BI17" s="112"/>
      <c r="BL17" s="56"/>
      <c r="BM17" s="56"/>
    </row>
    <row r="18" spans="1:65" ht="15" x14ac:dyDescent="0.25">
      <c r="A18" s="20" t="s">
        <v>69</v>
      </c>
      <c r="B18" s="21" t="s">
        <v>213</v>
      </c>
      <c r="C18" s="21" t="s">
        <v>72</v>
      </c>
      <c r="D18" s="10">
        <f>'Tulumaks 2021-2024'!D18*0.025*'Tulumaks 2021-2024'!D$85</f>
        <v>15937075.341176296</v>
      </c>
      <c r="E18" s="10">
        <f>'Tulumaks 2021-2024'!E18*0.025*'Tulumaks 2021-2024'!E$85</f>
        <v>16938244.752747338</v>
      </c>
      <c r="F18" s="10">
        <f>'Tulumaks 2021-2024'!F18*0.025*'Tulumaks 2021-2024'!F$85</f>
        <v>19597887.164484508</v>
      </c>
      <c r="G18" s="10">
        <v>524990153.33779263</v>
      </c>
      <c r="H18" s="10">
        <v>594890300.18561876</v>
      </c>
      <c r="I18" s="10">
        <f>'Tulumaks 2021-2024'!O18/11.96*11.89</f>
        <v>658567932.84280932</v>
      </c>
      <c r="J18" s="10">
        <v>25960370.298750203</v>
      </c>
      <c r="K18" s="4">
        <f t="shared" si="7"/>
        <v>656777289.51970065</v>
      </c>
      <c r="L18" s="10">
        <v>29277</v>
      </c>
      <c r="M18" s="10">
        <v>58713</v>
      </c>
      <c r="N18" s="10">
        <v>44207</v>
      </c>
      <c r="O18" s="10">
        <v>287542</v>
      </c>
      <c r="P18" s="10">
        <v>85814</v>
      </c>
      <c r="Q18" s="10">
        <v>73446</v>
      </c>
      <c r="R18" s="10">
        <v>12368</v>
      </c>
      <c r="S18" s="10">
        <f t="shared" si="8"/>
        <v>461346</v>
      </c>
      <c r="T18" s="116">
        <v>1</v>
      </c>
      <c r="U18" s="10">
        <v>7633</v>
      </c>
      <c r="V18" s="10">
        <v>212</v>
      </c>
      <c r="W18" s="10">
        <v>183</v>
      </c>
      <c r="X18" s="10">
        <v>22</v>
      </c>
      <c r="Y18" s="3">
        <f t="shared" si="9"/>
        <v>514393360.17492104</v>
      </c>
      <c r="Z18" s="10"/>
      <c r="AA18" s="12">
        <f t="shared" si="0"/>
        <v>0</v>
      </c>
      <c r="AB18" s="12">
        <v>0</v>
      </c>
      <c r="AC18" s="12">
        <f t="shared" si="1"/>
        <v>0</v>
      </c>
      <c r="AD18" s="12">
        <v>32895</v>
      </c>
      <c r="AE18" s="12">
        <v>51495</v>
      </c>
      <c r="AF18" s="12">
        <v>40845</v>
      </c>
      <c r="AG18" s="12">
        <v>287524</v>
      </c>
      <c r="AH18" s="12">
        <v>81119</v>
      </c>
      <c r="AI18" s="12">
        <f t="shared" si="10"/>
        <v>453033</v>
      </c>
      <c r="AJ18" s="12">
        <f t="shared" si="2"/>
        <v>514473256.10841405</v>
      </c>
      <c r="AK18" s="12">
        <f t="shared" si="3"/>
        <v>0</v>
      </c>
      <c r="AL18" s="12">
        <f t="shared" si="11"/>
        <v>0</v>
      </c>
      <c r="AM18" s="10">
        <f>SUMIF(AK$92:AK$108,C18,AM$92:AM$108)</f>
        <v>24</v>
      </c>
      <c r="AN18" s="117">
        <f>SUMIF(AK$92:AK$108,C18,AN$92:AN$108)</f>
        <v>14.4</v>
      </c>
      <c r="AO18" s="12">
        <f>ROUND((AM18*M$100+AN18*M$101),0)+SUMIF(AK$92:AK$108,C18,AO$92:AO$108)</f>
        <v>33068.271977729099</v>
      </c>
      <c r="AP18" s="10">
        <v>0</v>
      </c>
      <c r="AQ18" s="10">
        <f t="shared" si="4"/>
        <v>0</v>
      </c>
      <c r="AR18" s="10"/>
      <c r="AS18" s="10">
        <f t="shared" si="5"/>
        <v>0</v>
      </c>
      <c r="AT18" s="10">
        <f t="shared" si="6"/>
        <v>0</v>
      </c>
      <c r="AU18" s="10">
        <f t="shared" si="12"/>
        <v>0</v>
      </c>
      <c r="AV18" s="10">
        <f>'Tulumaks 2021-2024'!J18*0.0188*'Tulumaks 2021-2024'!J$85</f>
        <v>16719832.689697627</v>
      </c>
      <c r="AW18" s="10">
        <v>2216</v>
      </c>
      <c r="AX18" s="10">
        <f t="shared" si="13"/>
        <v>0</v>
      </c>
      <c r="AY18" s="10">
        <f>SUM('Tulumaks 2021-2024'!H18:I18)</f>
        <v>403831708.70000005</v>
      </c>
      <c r="AZ18" s="10">
        <v>336578748</v>
      </c>
      <c r="BA18" s="10">
        <f t="shared" si="14"/>
        <v>1881454.2365296225</v>
      </c>
      <c r="BB18" s="10"/>
      <c r="BC18" s="10">
        <f t="shared" si="15"/>
        <v>1914523</v>
      </c>
      <c r="BD18" s="10">
        <v>29042</v>
      </c>
      <c r="BE18" s="10">
        <f t="shared" si="16"/>
        <v>1885481</v>
      </c>
      <c r="BF18" s="5"/>
      <c r="BG18" s="5"/>
      <c r="BH18" s="112"/>
      <c r="BI18" s="112"/>
      <c r="BL18" s="56"/>
      <c r="BM18" s="56"/>
    </row>
    <row r="19" spans="1:65" ht="15" x14ac:dyDescent="0.25">
      <c r="A19" s="20" t="s">
        <v>69</v>
      </c>
      <c r="B19" s="21" t="s">
        <v>128</v>
      </c>
      <c r="C19" s="21" t="s">
        <v>70</v>
      </c>
      <c r="D19" s="10">
        <f>'Tulumaks 2021-2024'!D19*0.025*'Tulumaks 2021-2024'!D$85</f>
        <v>610103.6728353732</v>
      </c>
      <c r="E19" s="10">
        <f>'Tulumaks 2021-2024'!E19*0.025*'Tulumaks 2021-2024'!E$85</f>
        <v>673349.40042757464</v>
      </c>
      <c r="F19" s="10">
        <f>'Tulumaks 2021-2024'!F19*0.025*'Tulumaks 2021-2024'!F$85</f>
        <v>802747.63538827864</v>
      </c>
      <c r="G19" s="10">
        <v>30760089.119565215</v>
      </c>
      <c r="H19" s="10">
        <v>35526838.832775921</v>
      </c>
      <c r="I19" s="10">
        <f>'Tulumaks 2021-2024'!O19/11.96*11.89</f>
        <v>39649816.62458194</v>
      </c>
      <c r="J19" s="10">
        <v>2542226.3423750103</v>
      </c>
      <c r="K19" s="4">
        <f t="shared" si="7"/>
        <v>39902603.50080128</v>
      </c>
      <c r="L19" s="10">
        <v>2132</v>
      </c>
      <c r="M19" s="10">
        <v>4263</v>
      </c>
      <c r="N19" s="10">
        <v>3212</v>
      </c>
      <c r="O19" s="10">
        <v>13260</v>
      </c>
      <c r="P19" s="10">
        <v>3244</v>
      </c>
      <c r="Q19" s="10">
        <v>2899</v>
      </c>
      <c r="R19" s="10">
        <v>345</v>
      </c>
      <c r="S19" s="10">
        <f t="shared" si="8"/>
        <v>22899</v>
      </c>
      <c r="T19" s="116">
        <v>1.1299999999999999</v>
      </c>
      <c r="U19" s="10">
        <v>326</v>
      </c>
      <c r="V19" s="10">
        <v>4</v>
      </c>
      <c r="W19" s="10">
        <v>1</v>
      </c>
      <c r="X19" s="10">
        <v>0</v>
      </c>
      <c r="Y19" s="3">
        <f t="shared" si="9"/>
        <v>29320200.421594914</v>
      </c>
      <c r="Z19" s="10"/>
      <c r="AA19" s="12">
        <f t="shared" si="0"/>
        <v>0</v>
      </c>
      <c r="AB19" s="12">
        <v>0</v>
      </c>
      <c r="AC19" s="12">
        <f t="shared" si="1"/>
        <v>0</v>
      </c>
      <c r="AD19" s="12">
        <v>2010</v>
      </c>
      <c r="AE19" s="12">
        <v>3699</v>
      </c>
      <c r="AF19" s="12">
        <v>3006</v>
      </c>
      <c r="AG19" s="12">
        <v>12014</v>
      </c>
      <c r="AH19" s="12">
        <v>2637</v>
      </c>
      <c r="AI19" s="12">
        <f t="shared" si="10"/>
        <v>20360</v>
      </c>
      <c r="AJ19" s="12">
        <f t="shared" si="2"/>
        <v>26796994.050080191</v>
      </c>
      <c r="AK19" s="12">
        <f t="shared" si="3"/>
        <v>0</v>
      </c>
      <c r="AL19" s="12">
        <f t="shared" si="11"/>
        <v>0</v>
      </c>
      <c r="AM19" s="10">
        <f>SUMIF(AK$92:AK$108,C19,AM$92:AM$108)</f>
        <v>241</v>
      </c>
      <c r="AN19" s="117">
        <f>SUMIF(AK$92:AK$108,C19,AN$92:AN$108)</f>
        <v>38</v>
      </c>
      <c r="AO19" s="12">
        <f>ROUND((AM19*M$100+AN19*M$101),0)+SUMIF(AK$92:AK$108,C19,AO$92:AO$108)</f>
        <v>138045.81593318729</v>
      </c>
      <c r="AP19" s="10">
        <v>0</v>
      </c>
      <c r="AQ19" s="10">
        <f t="shared" si="4"/>
        <v>0</v>
      </c>
      <c r="AR19" s="10"/>
      <c r="AS19" s="10">
        <f t="shared" si="5"/>
        <v>0</v>
      </c>
      <c r="AT19" s="10">
        <f t="shared" si="6"/>
        <v>0</v>
      </c>
      <c r="AU19" s="10">
        <f t="shared" si="12"/>
        <v>0</v>
      </c>
      <c r="AV19" s="10">
        <f>'Tulumaks 2021-2024'!J19*0.0188*'Tulumaks 2021-2024'!J$85</f>
        <v>684859.85469217051</v>
      </c>
      <c r="AW19" s="10">
        <v>69</v>
      </c>
      <c r="AX19" s="10">
        <f t="shared" si="13"/>
        <v>0</v>
      </c>
      <c r="AY19" s="10">
        <f>SUM('Tulumaks 2021-2024'!H19:I19)</f>
        <v>16610052.310000001</v>
      </c>
      <c r="AZ19" s="10">
        <v>20083575</v>
      </c>
      <c r="BA19" s="10">
        <f t="shared" si="14"/>
        <v>86392.654116210702</v>
      </c>
      <c r="BB19" s="10"/>
      <c r="BC19" s="10">
        <f t="shared" si="15"/>
        <v>224438</v>
      </c>
      <c r="BD19" s="10">
        <v>126098</v>
      </c>
      <c r="BE19" s="10">
        <f t="shared" si="16"/>
        <v>98340</v>
      </c>
      <c r="BF19" s="5"/>
      <c r="BG19" s="5"/>
      <c r="BH19" s="112"/>
      <c r="BI19" s="112"/>
      <c r="BL19" s="56"/>
      <c r="BM19" s="56"/>
    </row>
    <row r="20" spans="1:65" ht="15" x14ac:dyDescent="0.25">
      <c r="A20" s="20" t="s">
        <v>67</v>
      </c>
      <c r="B20" s="21" t="s">
        <v>217</v>
      </c>
      <c r="C20" s="21" t="s">
        <v>66</v>
      </c>
      <c r="D20" s="10">
        <f>'Tulumaks 2021-2024'!D20*0.025*'Tulumaks 2021-2024'!D$85</f>
        <v>430270.37413844129</v>
      </c>
      <c r="E20" s="10">
        <f>'Tulumaks 2021-2024'!E20*0.025*'Tulumaks 2021-2024'!E$85</f>
        <v>470460.35328262876</v>
      </c>
      <c r="F20" s="10">
        <f>'Tulumaks 2021-2024'!F20*0.025*'Tulumaks 2021-2024'!F$85</f>
        <v>559329.59005166381</v>
      </c>
      <c r="G20" s="10">
        <v>10078675.809364548</v>
      </c>
      <c r="H20" s="10">
        <v>11263191.211538462</v>
      </c>
      <c r="I20" s="10">
        <f>'Tulumaks 2021-2024'!O20/11.96*11.89</f>
        <v>12679600.385451505</v>
      </c>
      <c r="J20" s="10">
        <v>385118.70059999893</v>
      </c>
      <c r="K20" s="4">
        <f t="shared" si="7"/>
        <v>12626468.394498508</v>
      </c>
      <c r="L20" s="10">
        <v>461</v>
      </c>
      <c r="M20" s="10">
        <v>944</v>
      </c>
      <c r="N20" s="10">
        <v>682</v>
      </c>
      <c r="O20" s="10">
        <v>6067</v>
      </c>
      <c r="P20" s="10">
        <v>2286</v>
      </c>
      <c r="Q20" s="10">
        <v>2026</v>
      </c>
      <c r="R20" s="10">
        <v>260</v>
      </c>
      <c r="S20" s="10">
        <f t="shared" si="8"/>
        <v>9758</v>
      </c>
      <c r="T20" s="116">
        <v>1.68</v>
      </c>
      <c r="U20" s="10">
        <v>26</v>
      </c>
      <c r="V20" s="10">
        <v>12</v>
      </c>
      <c r="W20" s="10">
        <v>2</v>
      </c>
      <c r="X20" s="10">
        <v>0</v>
      </c>
      <c r="Y20" s="3">
        <f t="shared" si="9"/>
        <v>10424753.933550067</v>
      </c>
      <c r="Z20" s="10"/>
      <c r="AA20" s="12">
        <f t="shared" si="0"/>
        <v>0</v>
      </c>
      <c r="AB20" s="12">
        <v>0</v>
      </c>
      <c r="AC20" s="12">
        <f t="shared" si="1"/>
        <v>0</v>
      </c>
      <c r="AD20" s="12">
        <v>436</v>
      </c>
      <c r="AE20" s="12">
        <v>994</v>
      </c>
      <c r="AF20" s="12">
        <v>749</v>
      </c>
      <c r="AG20" s="12">
        <v>6069</v>
      </c>
      <c r="AH20" s="12">
        <v>2059</v>
      </c>
      <c r="AI20" s="12">
        <f t="shared" si="10"/>
        <v>9558</v>
      </c>
      <c r="AJ20" s="12">
        <f t="shared" si="2"/>
        <v>10329714.523723589</v>
      </c>
      <c r="AK20" s="12">
        <f t="shared" si="3"/>
        <v>0</v>
      </c>
      <c r="AL20" s="12">
        <f t="shared" si="11"/>
        <v>0</v>
      </c>
      <c r="AM20" s="10">
        <f>SUMIF(AK$92:AK$108,C20,AM$92:AM$108)</f>
        <v>6</v>
      </c>
      <c r="AN20" s="117">
        <f>SUMIF(AK$92:AK$108,C20,AN$92:AN$108)</f>
        <v>7.1</v>
      </c>
      <c r="AO20" s="12">
        <f>ROUND((AM20*M$100+AN20*M$101),0)+SUMIF(AK$92:AK$108,C20,AO$92:AO$108)</f>
        <v>23474.271977729099</v>
      </c>
      <c r="AP20" s="10">
        <v>2608</v>
      </c>
      <c r="AQ20" s="10">
        <f t="shared" si="4"/>
        <v>1865</v>
      </c>
      <c r="AR20" s="10"/>
      <c r="AS20" s="10">
        <f t="shared" si="5"/>
        <v>0</v>
      </c>
      <c r="AT20" s="10">
        <f t="shared" si="6"/>
        <v>0</v>
      </c>
      <c r="AU20" s="10">
        <f t="shared" si="12"/>
        <v>0</v>
      </c>
      <c r="AV20" s="10">
        <f>'Tulumaks 2021-2024'!J20*0.0188*'Tulumaks 2021-2024'!J$85</f>
        <v>477189.05030786106</v>
      </c>
      <c r="AW20" s="10">
        <v>88</v>
      </c>
      <c r="AX20" s="10">
        <f t="shared" si="13"/>
        <v>0</v>
      </c>
      <c r="AY20" s="10">
        <f>SUM('Tulumaks 2021-2024'!H20:I20)</f>
        <v>11549803.73</v>
      </c>
      <c r="AZ20" s="10">
        <v>6470642</v>
      </c>
      <c r="BA20" s="10">
        <f t="shared" si="14"/>
        <v>49255.715450179538</v>
      </c>
      <c r="BB20" s="10"/>
      <c r="BC20" s="10">
        <f t="shared" si="15"/>
        <v>74595</v>
      </c>
      <c r="BD20" s="10">
        <v>23286</v>
      </c>
      <c r="BE20" s="10">
        <f t="shared" si="16"/>
        <v>51309</v>
      </c>
      <c r="BF20" s="5"/>
      <c r="BG20" s="5"/>
      <c r="BH20" s="112"/>
      <c r="BI20" s="112"/>
      <c r="BL20" s="56"/>
      <c r="BM20" s="56"/>
    </row>
    <row r="21" spans="1:65" ht="15" x14ac:dyDescent="0.25">
      <c r="A21" s="20" t="s">
        <v>58</v>
      </c>
      <c r="B21" s="21" t="s">
        <v>218</v>
      </c>
      <c r="C21" s="21" t="s">
        <v>65</v>
      </c>
      <c r="D21" s="10">
        <f>'Tulumaks 2021-2024'!D21*0.025*'Tulumaks 2021-2024'!D$85</f>
        <v>213886.21265925089</v>
      </c>
      <c r="E21" s="10">
        <f>'Tulumaks 2021-2024'!E21*0.025*'Tulumaks 2021-2024'!E$85</f>
        <v>229720.73642787748</v>
      </c>
      <c r="F21" s="10">
        <f>'Tulumaks 2021-2024'!F21*0.025*'Tulumaks 2021-2024'!F$85</f>
        <v>269818.84812918853</v>
      </c>
      <c r="G21" s="10">
        <v>3724165.7182274247</v>
      </c>
      <c r="H21" s="10">
        <v>4121276.8060200671</v>
      </c>
      <c r="I21" s="10">
        <f>'Tulumaks 2021-2024'!O21/11.96*11.89</f>
        <v>4624152.2274247492</v>
      </c>
      <c r="J21" s="10">
        <v>483380.05817500025</v>
      </c>
      <c r="K21" s="4">
        <f t="shared" si="7"/>
        <v>5023275.244863688</v>
      </c>
      <c r="L21" s="10">
        <v>213</v>
      </c>
      <c r="M21" s="10">
        <v>519</v>
      </c>
      <c r="N21" s="10">
        <v>386</v>
      </c>
      <c r="O21" s="10">
        <v>2709</v>
      </c>
      <c r="P21" s="10">
        <v>1129</v>
      </c>
      <c r="Q21" s="10">
        <v>957</v>
      </c>
      <c r="R21" s="10">
        <v>172</v>
      </c>
      <c r="S21" s="10">
        <f t="shared" si="8"/>
        <v>4570</v>
      </c>
      <c r="T21" s="116">
        <v>2.0699999999999998</v>
      </c>
      <c r="U21" s="10">
        <v>40</v>
      </c>
      <c r="V21" s="10"/>
      <c r="W21" s="10">
        <v>1</v>
      </c>
      <c r="X21" s="10">
        <v>0</v>
      </c>
      <c r="Y21" s="3">
        <f t="shared" si="9"/>
        <v>5365643.6721604317</v>
      </c>
      <c r="Z21" s="10"/>
      <c r="AA21" s="12">
        <f t="shared" si="0"/>
        <v>308132</v>
      </c>
      <c r="AB21" s="12">
        <v>0</v>
      </c>
      <c r="AC21" s="12">
        <f t="shared" si="1"/>
        <v>308132</v>
      </c>
      <c r="AD21" s="12">
        <v>270</v>
      </c>
      <c r="AE21" s="12">
        <v>534</v>
      </c>
      <c r="AF21" s="12">
        <v>399</v>
      </c>
      <c r="AG21" s="12">
        <v>2896</v>
      </c>
      <c r="AH21" s="12">
        <v>1111</v>
      </c>
      <c r="AI21" s="12">
        <f t="shared" si="10"/>
        <v>4811</v>
      </c>
      <c r="AJ21" s="12">
        <f t="shared" si="2"/>
        <v>5741366.2542220196</v>
      </c>
      <c r="AK21" s="12">
        <f t="shared" si="3"/>
        <v>646282</v>
      </c>
      <c r="AL21" s="12">
        <f t="shared" si="11"/>
        <v>67630</v>
      </c>
      <c r="AM21" s="7"/>
      <c r="AN21" s="117"/>
      <c r="AO21" s="7"/>
      <c r="AP21" s="10">
        <v>312</v>
      </c>
      <c r="AQ21" s="10">
        <f t="shared" si="4"/>
        <v>223</v>
      </c>
      <c r="AR21" s="10"/>
      <c r="AS21" s="10">
        <f t="shared" si="5"/>
        <v>0</v>
      </c>
      <c r="AT21" s="10">
        <f t="shared" si="6"/>
        <v>0</v>
      </c>
      <c r="AU21" s="10">
        <f t="shared" si="12"/>
        <v>0</v>
      </c>
      <c r="AV21" s="10">
        <f>'Tulumaks 2021-2024'!J21*0.0188*'Tulumaks 2021-2024'!J$85</f>
        <v>230194.50818261865</v>
      </c>
      <c r="AW21" s="10">
        <v>54</v>
      </c>
      <c r="AX21" s="10">
        <f t="shared" si="13"/>
        <v>15397.491817381349</v>
      </c>
      <c r="AY21" s="10">
        <f>SUM('Tulumaks 2021-2024'!H21:I21)</f>
        <v>5587506.6000000006</v>
      </c>
      <c r="AZ21" s="10">
        <v>2367926</v>
      </c>
      <c r="BA21" s="10">
        <f t="shared" si="14"/>
        <v>22728.233106127471</v>
      </c>
      <c r="BB21" s="10"/>
      <c r="BC21" s="10">
        <f t="shared" si="15"/>
        <v>414111</v>
      </c>
      <c r="BD21" s="10">
        <v>479600</v>
      </c>
      <c r="BE21" s="10">
        <f t="shared" si="16"/>
        <v>-65489</v>
      </c>
      <c r="BF21" s="5"/>
      <c r="BG21" s="5"/>
      <c r="BH21" s="112"/>
      <c r="BI21" s="112"/>
      <c r="BL21" s="56"/>
      <c r="BM21" s="56"/>
    </row>
    <row r="22" spans="1:65" ht="15" x14ac:dyDescent="0.25">
      <c r="A22" s="20" t="s">
        <v>58</v>
      </c>
      <c r="B22" s="21" t="s">
        <v>127</v>
      </c>
      <c r="C22" s="21" t="s">
        <v>60</v>
      </c>
      <c r="D22" s="10">
        <f>'Tulumaks 2021-2024'!D22*0.025*'Tulumaks 2021-2024'!D$85</f>
        <v>596802.02825756045</v>
      </c>
      <c r="E22" s="10">
        <f>'Tulumaks 2021-2024'!E22*0.025*'Tulumaks 2021-2024'!E$85</f>
        <v>627808.15048751677</v>
      </c>
      <c r="F22" s="10">
        <f>'Tulumaks 2021-2024'!F22*0.025*'Tulumaks 2021-2024'!F$85</f>
        <v>726349.79533765803</v>
      </c>
      <c r="G22" s="10">
        <v>9393919.1772575248</v>
      </c>
      <c r="H22" s="10">
        <v>10434998.033444816</v>
      </c>
      <c r="I22" s="10">
        <f>'Tulumaks 2021-2024'!O22/11.96*11.89</f>
        <v>11645310.560200669</v>
      </c>
      <c r="J22" s="10">
        <v>209038.22075000042</v>
      </c>
      <c r="K22" s="4">
        <f t="shared" si="7"/>
        <v>11711854.494801881</v>
      </c>
      <c r="L22" s="10">
        <v>743</v>
      </c>
      <c r="M22" s="10">
        <v>1459</v>
      </c>
      <c r="N22" s="10">
        <v>1106</v>
      </c>
      <c r="O22" s="10">
        <v>6277</v>
      </c>
      <c r="P22" s="10">
        <v>3059</v>
      </c>
      <c r="Q22" s="10">
        <v>2600</v>
      </c>
      <c r="R22" s="10">
        <v>459</v>
      </c>
      <c r="S22" s="10">
        <f t="shared" si="8"/>
        <v>11538</v>
      </c>
      <c r="T22" s="116">
        <v>1.1000000000000001</v>
      </c>
      <c r="U22" s="10">
        <v>27</v>
      </c>
      <c r="V22" s="10">
        <v>8</v>
      </c>
      <c r="W22" s="10">
        <v>7</v>
      </c>
      <c r="X22" s="10">
        <v>0</v>
      </c>
      <c r="Y22" s="3">
        <f t="shared" si="9"/>
        <v>13245574.762380302</v>
      </c>
      <c r="Z22" s="10"/>
      <c r="AA22" s="12">
        <f t="shared" si="0"/>
        <v>1380348</v>
      </c>
      <c r="AB22" s="12">
        <v>0</v>
      </c>
      <c r="AC22" s="12">
        <f t="shared" si="1"/>
        <v>1380348</v>
      </c>
      <c r="AD22" s="12">
        <v>754</v>
      </c>
      <c r="AE22" s="12">
        <v>1255</v>
      </c>
      <c r="AF22" s="12">
        <v>951</v>
      </c>
      <c r="AG22" s="12">
        <v>6648</v>
      </c>
      <c r="AH22" s="12">
        <v>2834</v>
      </c>
      <c r="AI22" s="12">
        <f t="shared" si="10"/>
        <v>11491</v>
      </c>
      <c r="AJ22" s="12">
        <f t="shared" si="2"/>
        <v>12913141.715869645</v>
      </c>
      <c r="AK22" s="12">
        <f t="shared" si="3"/>
        <v>1081158</v>
      </c>
      <c r="AL22" s="12">
        <f t="shared" si="11"/>
        <v>0</v>
      </c>
      <c r="AM22" s="7"/>
      <c r="AN22" s="117"/>
      <c r="AO22" s="7"/>
      <c r="AP22" s="10">
        <v>0</v>
      </c>
      <c r="AQ22" s="10">
        <f t="shared" si="4"/>
        <v>0</v>
      </c>
      <c r="AR22" s="10"/>
      <c r="AS22" s="10">
        <f t="shared" si="5"/>
        <v>0</v>
      </c>
      <c r="AT22" s="10">
        <f t="shared" si="6"/>
        <v>0</v>
      </c>
      <c r="AU22" s="10">
        <f t="shared" si="12"/>
        <v>0</v>
      </c>
      <c r="AV22" s="10">
        <f>'Tulumaks 2021-2024'!J22*0.0188*'Tulumaks 2021-2024'!J$85</f>
        <v>619681.44577595312</v>
      </c>
      <c r="AW22" s="10">
        <v>113</v>
      </c>
      <c r="AX22" s="10">
        <f t="shared" si="13"/>
        <v>0</v>
      </c>
      <c r="AY22" s="10">
        <f>SUM('Tulumaks 2021-2024'!H22:I22)</f>
        <v>14977336.130000001</v>
      </c>
      <c r="AZ22" s="10">
        <v>5924691</v>
      </c>
      <c r="BA22" s="10">
        <f t="shared" si="14"/>
        <v>60313.232779970764</v>
      </c>
      <c r="BB22" s="10"/>
      <c r="BC22" s="10">
        <f t="shared" si="15"/>
        <v>1440661</v>
      </c>
      <c r="BD22" s="10">
        <v>1162998</v>
      </c>
      <c r="BE22" s="10">
        <f t="shared" si="16"/>
        <v>277663</v>
      </c>
      <c r="BF22" s="5"/>
      <c r="BG22" s="5"/>
      <c r="BH22" s="112"/>
      <c r="BI22" s="112"/>
      <c r="BL22" s="56"/>
      <c r="BM22" s="56"/>
    </row>
    <row r="23" spans="1:65" ht="24.75" x14ac:dyDescent="0.25">
      <c r="A23" s="20" t="s">
        <v>58</v>
      </c>
      <c r="B23" s="21" t="s">
        <v>57</v>
      </c>
      <c r="C23" s="21" t="s">
        <v>57</v>
      </c>
      <c r="D23" s="10">
        <f>'Tulumaks 2021-2024'!D23*0.025*'Tulumaks 2021-2024'!D$85</f>
        <v>1691423.6414058425</v>
      </c>
      <c r="E23" s="10">
        <f>'Tulumaks 2021-2024'!E23*0.025*'Tulumaks 2021-2024'!E$85</f>
        <v>1784325.3332802095</v>
      </c>
      <c r="F23" s="10">
        <f>'Tulumaks 2021-2024'!F23*0.025*'Tulumaks 2021-2024'!F$85</f>
        <v>2063934.3959467232</v>
      </c>
      <c r="G23" s="10">
        <v>22295871.510033444</v>
      </c>
      <c r="H23" s="10">
        <v>24081444.306856185</v>
      </c>
      <c r="I23" s="10">
        <f>'Tulumaks 2021-2024'!O23/11.96*11.89</f>
        <v>25961488.919732444</v>
      </c>
      <c r="J23" s="10">
        <v>204032.67429999955</v>
      </c>
      <c r="K23" s="4">
        <f t="shared" si="7"/>
        <v>26773934.254468359</v>
      </c>
      <c r="L23" s="10">
        <v>1546</v>
      </c>
      <c r="M23" s="10">
        <v>3953</v>
      </c>
      <c r="N23" s="10">
        <v>2880</v>
      </c>
      <c r="O23" s="10">
        <v>17627</v>
      </c>
      <c r="P23" s="10">
        <v>8831</v>
      </c>
      <c r="Q23" s="10">
        <v>7614</v>
      </c>
      <c r="R23" s="10">
        <v>1217</v>
      </c>
      <c r="S23" s="10">
        <f t="shared" si="8"/>
        <v>31957</v>
      </c>
      <c r="T23" s="116">
        <v>1.0900000000000001</v>
      </c>
      <c r="U23" s="10">
        <v>105</v>
      </c>
      <c r="V23" s="10">
        <v>28</v>
      </c>
      <c r="W23" s="10">
        <v>55</v>
      </c>
      <c r="X23" s="10">
        <v>2</v>
      </c>
      <c r="Y23" s="3">
        <f t="shared" si="9"/>
        <v>35622155.884484462</v>
      </c>
      <c r="Z23" s="10"/>
      <c r="AA23" s="12">
        <f t="shared" si="0"/>
        <v>7963399</v>
      </c>
      <c r="AB23" s="12">
        <v>0</v>
      </c>
      <c r="AC23" s="12">
        <f t="shared" si="1"/>
        <v>7963399</v>
      </c>
      <c r="AD23" s="12">
        <v>2076</v>
      </c>
      <c r="AE23" s="12">
        <v>4027</v>
      </c>
      <c r="AF23" s="12">
        <v>3017</v>
      </c>
      <c r="AG23" s="12">
        <v>20666</v>
      </c>
      <c r="AH23" s="12">
        <v>8065</v>
      </c>
      <c r="AI23" s="12">
        <f t="shared" si="10"/>
        <v>34834</v>
      </c>
      <c r="AJ23" s="12">
        <f t="shared" si="2"/>
        <v>39234472.579609074</v>
      </c>
      <c r="AK23" s="12">
        <f t="shared" si="3"/>
        <v>11214484</v>
      </c>
      <c r="AL23" s="12">
        <f t="shared" si="11"/>
        <v>650217</v>
      </c>
      <c r="AM23" s="7"/>
      <c r="AN23" s="117"/>
      <c r="AO23" s="7"/>
      <c r="AP23" s="10">
        <v>0</v>
      </c>
      <c r="AQ23" s="10">
        <f t="shared" si="4"/>
        <v>0</v>
      </c>
      <c r="AR23" s="10"/>
      <c r="AS23" s="10">
        <f t="shared" si="5"/>
        <v>0</v>
      </c>
      <c r="AT23" s="10">
        <f t="shared" si="6"/>
        <v>0</v>
      </c>
      <c r="AU23" s="10">
        <f t="shared" si="12"/>
        <v>0</v>
      </c>
      <c r="AV23" s="10">
        <f>'Tulumaks 2021-2024'!J23*0.0188*'Tulumaks 2021-2024'!J$85</f>
        <v>1760834.598807072</v>
      </c>
      <c r="AW23" s="10">
        <v>346</v>
      </c>
      <c r="AX23" s="10">
        <f t="shared" si="13"/>
        <v>0</v>
      </c>
      <c r="AY23" s="10">
        <f>SUM('Tulumaks 2021-2024'!H23:I23)</f>
        <v>42522979.270000003</v>
      </c>
      <c r="AZ23" s="10">
        <v>13202417</v>
      </c>
      <c r="BA23" s="10">
        <f t="shared" si="14"/>
        <v>166015.43176656618</v>
      </c>
      <c r="BB23" s="10"/>
      <c r="BC23" s="10">
        <f t="shared" si="15"/>
        <v>8779631</v>
      </c>
      <c r="BD23" s="10">
        <v>6418907</v>
      </c>
      <c r="BE23" s="10">
        <f t="shared" si="16"/>
        <v>2360724</v>
      </c>
      <c r="BF23" s="5"/>
      <c r="BG23" s="5"/>
      <c r="BH23" s="112"/>
      <c r="BI23" s="112"/>
      <c r="BL23" s="56"/>
      <c r="BM23" s="56"/>
    </row>
    <row r="24" spans="1:65" ht="15" x14ac:dyDescent="0.25">
      <c r="A24" s="20" t="s">
        <v>58</v>
      </c>
      <c r="B24" s="21" t="s">
        <v>126</v>
      </c>
      <c r="C24" s="21" t="s">
        <v>63</v>
      </c>
      <c r="D24" s="10">
        <f>'Tulumaks 2021-2024'!D24*0.025*'Tulumaks 2021-2024'!D$85</f>
        <v>462299.71662784275</v>
      </c>
      <c r="E24" s="10">
        <f>'Tulumaks 2021-2024'!E24*0.025*'Tulumaks 2021-2024'!E$85</f>
        <v>488170.91185803455</v>
      </c>
      <c r="F24" s="10">
        <f>'Tulumaks 2021-2024'!F24*0.025*'Tulumaks 2021-2024'!F$85</f>
        <v>563550.54956892657</v>
      </c>
      <c r="G24" s="10">
        <v>5815782.7408026755</v>
      </c>
      <c r="H24" s="10">
        <v>6245657.9364548493</v>
      </c>
      <c r="I24" s="10">
        <f>'Tulumaks 2021-2024'!O24/11.96*11.89</f>
        <v>6791194.2006688965</v>
      </c>
      <c r="J24" s="10">
        <v>293308.72030555527</v>
      </c>
      <c r="K24" s="4">
        <f t="shared" si="7"/>
        <v>7246446.2414044356</v>
      </c>
      <c r="L24" s="10">
        <v>368</v>
      </c>
      <c r="M24" s="10">
        <v>905</v>
      </c>
      <c r="N24" s="10">
        <v>655</v>
      </c>
      <c r="O24" s="10">
        <v>4382</v>
      </c>
      <c r="P24" s="10">
        <v>2435</v>
      </c>
      <c r="Q24" s="10">
        <v>2096</v>
      </c>
      <c r="R24" s="10">
        <v>339</v>
      </c>
      <c r="S24" s="10">
        <f t="shared" si="8"/>
        <v>8090</v>
      </c>
      <c r="T24" s="116">
        <v>1.41</v>
      </c>
      <c r="U24" s="10">
        <v>30</v>
      </c>
      <c r="V24" s="10">
        <v>2</v>
      </c>
      <c r="W24" s="10">
        <v>21</v>
      </c>
      <c r="X24" s="10">
        <v>3</v>
      </c>
      <c r="Y24" s="3">
        <f t="shared" si="9"/>
        <v>9370402.0546069182</v>
      </c>
      <c r="Z24" s="10"/>
      <c r="AA24" s="12">
        <f t="shared" si="0"/>
        <v>1911560</v>
      </c>
      <c r="AB24" s="12">
        <v>0</v>
      </c>
      <c r="AC24" s="12">
        <f t="shared" si="1"/>
        <v>1911560</v>
      </c>
      <c r="AD24" s="12">
        <v>430</v>
      </c>
      <c r="AE24" s="12">
        <v>907</v>
      </c>
      <c r="AF24" s="12">
        <v>675</v>
      </c>
      <c r="AG24" s="12">
        <v>5018</v>
      </c>
      <c r="AH24" s="12">
        <v>2381</v>
      </c>
      <c r="AI24" s="12">
        <f t="shared" si="10"/>
        <v>8736</v>
      </c>
      <c r="AJ24" s="12">
        <f t="shared" si="2"/>
        <v>10007387.022652663</v>
      </c>
      <c r="AK24" s="12">
        <f t="shared" si="3"/>
        <v>2484847</v>
      </c>
      <c r="AL24" s="12">
        <f t="shared" si="11"/>
        <v>114657.40000000001</v>
      </c>
      <c r="AM24" s="7"/>
      <c r="AN24" s="117"/>
      <c r="AO24" s="7"/>
      <c r="AP24" s="10">
        <v>13112</v>
      </c>
      <c r="AQ24" s="10">
        <f t="shared" si="4"/>
        <v>9375</v>
      </c>
      <c r="AR24" s="10"/>
      <c r="AS24" s="10">
        <f t="shared" si="5"/>
        <v>0</v>
      </c>
      <c r="AT24" s="10">
        <f t="shared" si="6"/>
        <v>0</v>
      </c>
      <c r="AU24" s="10">
        <f t="shared" si="12"/>
        <v>0</v>
      </c>
      <c r="AV24" s="10">
        <f>'Tulumaks 2021-2024'!J24*0.0188*'Tulumaks 2021-2024'!J$85</f>
        <v>480790.13936028269</v>
      </c>
      <c r="AW24" s="10">
        <v>113</v>
      </c>
      <c r="AX24" s="10">
        <f t="shared" si="13"/>
        <v>33133.860639717313</v>
      </c>
      <c r="AY24" s="10">
        <f>SUM('Tulumaks 2021-2024'!H24:I24)</f>
        <v>11591247.75</v>
      </c>
      <c r="AZ24" s="10">
        <v>3475590</v>
      </c>
      <c r="BA24" s="10">
        <f t="shared" si="14"/>
        <v>45075.924020699764</v>
      </c>
      <c r="BB24" s="10"/>
      <c r="BC24" s="10">
        <f t="shared" si="15"/>
        <v>2113802</v>
      </c>
      <c r="BD24" s="10">
        <v>1497584</v>
      </c>
      <c r="BE24" s="10">
        <f t="shared" si="16"/>
        <v>616218</v>
      </c>
      <c r="BF24" s="5"/>
      <c r="BG24" s="5"/>
      <c r="BH24" s="112"/>
      <c r="BI24" s="112"/>
      <c r="BL24" s="56"/>
      <c r="BM24" s="56"/>
    </row>
    <row r="25" spans="1:65" ht="15" x14ac:dyDescent="0.25">
      <c r="A25" s="20" t="s">
        <v>58</v>
      </c>
      <c r="B25" s="21" t="s">
        <v>59</v>
      </c>
      <c r="C25" s="21" t="s">
        <v>59</v>
      </c>
      <c r="D25" s="10">
        <f>'Tulumaks 2021-2024'!D25*0.025*'Tulumaks 2021-2024'!D$85</f>
        <v>2528864.676993907</v>
      </c>
      <c r="E25" s="10">
        <f>'Tulumaks 2021-2024'!E25*0.025*'Tulumaks 2021-2024'!E$85</f>
        <v>2672798.4687028425</v>
      </c>
      <c r="F25" s="10">
        <f>'Tulumaks 2021-2024'!F25*0.025*'Tulumaks 2021-2024'!F$85</f>
        <v>3121137.6245771032</v>
      </c>
      <c r="G25" s="10">
        <v>31152215.553511705</v>
      </c>
      <c r="H25" s="10">
        <v>34830757.870401338</v>
      </c>
      <c r="I25" s="10">
        <f>'Tulumaks 2021-2024'!O25/11.96*11.89</f>
        <v>37122187.535953179</v>
      </c>
      <c r="J25" s="10">
        <v>383504.52892500022</v>
      </c>
      <c r="K25" s="4">
        <f t="shared" si="7"/>
        <v>38492450.057022519</v>
      </c>
      <c r="L25" s="10">
        <v>2517</v>
      </c>
      <c r="M25" s="10">
        <v>6417</v>
      </c>
      <c r="N25" s="10">
        <v>4632</v>
      </c>
      <c r="O25" s="10">
        <v>29555</v>
      </c>
      <c r="P25" s="10">
        <v>14405</v>
      </c>
      <c r="Q25" s="10">
        <v>12490</v>
      </c>
      <c r="R25" s="10">
        <v>1915</v>
      </c>
      <c r="S25" s="10">
        <f t="shared" si="8"/>
        <v>52894</v>
      </c>
      <c r="T25" s="116">
        <v>1</v>
      </c>
      <c r="U25" s="10">
        <v>484</v>
      </c>
      <c r="V25" s="10">
        <v>73</v>
      </c>
      <c r="W25" s="10">
        <v>51</v>
      </c>
      <c r="X25" s="10">
        <v>1</v>
      </c>
      <c r="Y25" s="3">
        <f t="shared" si="9"/>
        <v>57453746.306811936</v>
      </c>
      <c r="Z25" s="10"/>
      <c r="AA25" s="12">
        <f t="shared" si="0"/>
        <v>17065167</v>
      </c>
      <c r="AB25" s="12">
        <v>0</v>
      </c>
      <c r="AC25" s="12">
        <f t="shared" si="1"/>
        <v>17065167</v>
      </c>
      <c r="AD25" s="12">
        <v>3239</v>
      </c>
      <c r="AE25" s="12">
        <v>6861</v>
      </c>
      <c r="AF25" s="12">
        <v>5114</v>
      </c>
      <c r="AG25" s="12">
        <v>34298</v>
      </c>
      <c r="AH25" s="12">
        <v>13444</v>
      </c>
      <c r="AI25" s="12">
        <f t="shared" si="10"/>
        <v>57842</v>
      </c>
      <c r="AJ25" s="12">
        <f t="shared" si="2"/>
        <v>63510320.468099669</v>
      </c>
      <c r="AK25" s="12">
        <f t="shared" si="3"/>
        <v>22516083</v>
      </c>
      <c r="AL25" s="12">
        <f t="shared" si="11"/>
        <v>1090183.2</v>
      </c>
      <c r="AM25" s="7"/>
      <c r="AN25" s="117"/>
      <c r="AO25" s="7"/>
      <c r="AP25" s="10">
        <v>0</v>
      </c>
      <c r="AQ25" s="10">
        <f t="shared" si="4"/>
        <v>0</v>
      </c>
      <c r="AR25" s="10"/>
      <c r="AS25" s="10">
        <f t="shared" si="5"/>
        <v>0</v>
      </c>
      <c r="AT25" s="10">
        <f t="shared" si="6"/>
        <v>0</v>
      </c>
      <c r="AU25" s="10">
        <f t="shared" si="12"/>
        <v>0</v>
      </c>
      <c r="AV25" s="10">
        <f>'Tulumaks 2021-2024'!J25*0.0188*'Tulumaks 2021-2024'!J$85</f>
        <v>2662781.8828868177</v>
      </c>
      <c r="AW25" s="10">
        <v>305</v>
      </c>
      <c r="AX25" s="10">
        <f t="shared" si="13"/>
        <v>0</v>
      </c>
      <c r="AY25" s="10">
        <f>SUM('Tulumaks 2021-2024'!H25:I25)</f>
        <v>64332175.409999996</v>
      </c>
      <c r="AZ25" s="10">
        <v>18953282</v>
      </c>
      <c r="BA25" s="10">
        <f t="shared" si="14"/>
        <v>249688.64333403908</v>
      </c>
      <c r="BB25" s="10"/>
      <c r="BC25" s="10">
        <f t="shared" si="15"/>
        <v>18405039</v>
      </c>
      <c r="BD25" s="10">
        <v>16132037</v>
      </c>
      <c r="BE25" s="10">
        <f t="shared" si="16"/>
        <v>2273002</v>
      </c>
      <c r="BF25" s="5"/>
      <c r="BG25" s="5"/>
      <c r="BH25" s="112"/>
      <c r="BI25" s="112"/>
      <c r="BL25" s="56"/>
      <c r="BM25" s="56"/>
    </row>
    <row r="26" spans="1:65" ht="24.75" x14ac:dyDescent="0.25">
      <c r="A26" s="20" t="s">
        <v>58</v>
      </c>
      <c r="B26" s="21" t="s">
        <v>62</v>
      </c>
      <c r="C26" s="21" t="s">
        <v>62</v>
      </c>
      <c r="D26" s="10">
        <f>'Tulumaks 2021-2024'!D26*0.025*'Tulumaks 2021-2024'!D$85</f>
        <v>224250.25030593932</v>
      </c>
      <c r="E26" s="10">
        <f>'Tulumaks 2021-2024'!E26*0.025*'Tulumaks 2021-2024'!E$85</f>
        <v>245378.12799445455</v>
      </c>
      <c r="F26" s="10">
        <f>'Tulumaks 2021-2024'!F26*0.025*'Tulumaks 2021-2024'!F$85</f>
        <v>289890.27847388864</v>
      </c>
      <c r="G26" s="10">
        <v>3073211.0836120402</v>
      </c>
      <c r="H26" s="10">
        <v>3436335.2625418063</v>
      </c>
      <c r="I26" s="10">
        <f>'Tulumaks 2021-2024'!O26/11.96*11.89</f>
        <v>3842448.3528428092</v>
      </c>
      <c r="J26" s="10">
        <v>295104.7482000005</v>
      </c>
      <c r="K26" s="4">
        <f t="shared" si="7"/>
        <v>4125280.3478028234</v>
      </c>
      <c r="L26" s="10">
        <v>216</v>
      </c>
      <c r="M26" s="10">
        <v>537</v>
      </c>
      <c r="N26" s="10">
        <v>388</v>
      </c>
      <c r="O26" s="10">
        <v>2720</v>
      </c>
      <c r="P26" s="10">
        <v>1306</v>
      </c>
      <c r="Q26" s="10">
        <v>1149</v>
      </c>
      <c r="R26" s="10">
        <v>157</v>
      </c>
      <c r="S26" s="10">
        <f t="shared" si="8"/>
        <v>4779</v>
      </c>
      <c r="T26" s="116">
        <v>1.87</v>
      </c>
      <c r="U26" s="10">
        <v>26</v>
      </c>
      <c r="V26" s="10">
        <v>2</v>
      </c>
      <c r="W26" s="10">
        <v>3</v>
      </c>
      <c r="X26" s="10">
        <v>0</v>
      </c>
      <c r="Y26" s="3">
        <f t="shared" si="9"/>
        <v>5474001.4685975062</v>
      </c>
      <c r="Z26" s="10"/>
      <c r="AA26" s="12">
        <f t="shared" si="0"/>
        <v>1213849</v>
      </c>
      <c r="AB26" s="12">
        <v>0</v>
      </c>
      <c r="AC26" s="12">
        <f t="shared" si="1"/>
        <v>1213849</v>
      </c>
      <c r="AD26" s="12">
        <v>221</v>
      </c>
      <c r="AE26" s="12">
        <v>518</v>
      </c>
      <c r="AF26" s="12">
        <v>383</v>
      </c>
      <c r="AG26" s="12">
        <v>2888</v>
      </c>
      <c r="AH26" s="12">
        <v>1108</v>
      </c>
      <c r="AI26" s="12">
        <f t="shared" si="10"/>
        <v>4735</v>
      </c>
      <c r="AJ26" s="12">
        <f t="shared" si="2"/>
        <v>5399316.0514441896</v>
      </c>
      <c r="AK26" s="12">
        <f t="shared" si="3"/>
        <v>1146632</v>
      </c>
      <c r="AL26" s="12">
        <f t="shared" si="11"/>
        <v>0</v>
      </c>
      <c r="AM26" s="7"/>
      <c r="AN26" s="117"/>
      <c r="AO26" s="7"/>
      <c r="AP26" s="10">
        <v>0</v>
      </c>
      <c r="AQ26" s="10">
        <f t="shared" si="4"/>
        <v>0</v>
      </c>
      <c r="AR26" s="10"/>
      <c r="AS26" s="10">
        <f t="shared" si="5"/>
        <v>0</v>
      </c>
      <c r="AT26" s="10">
        <f t="shared" si="6"/>
        <v>0</v>
      </c>
      <c r="AU26" s="10">
        <f t="shared" si="12"/>
        <v>0</v>
      </c>
      <c r="AV26" s="10">
        <f>'Tulumaks 2021-2024'!J26*0.0188*'Tulumaks 2021-2024'!J$85</f>
        <v>247318.34170557448</v>
      </c>
      <c r="AW26" s="10">
        <v>38</v>
      </c>
      <c r="AX26" s="10">
        <f t="shared" si="13"/>
        <v>0</v>
      </c>
      <c r="AY26" s="10">
        <f>SUM('Tulumaks 2021-2024'!H26:I26)</f>
        <v>5996425.4800000004</v>
      </c>
      <c r="AZ26" s="10">
        <v>1967084</v>
      </c>
      <c r="BA26" s="10">
        <f t="shared" si="14"/>
        <v>23562.884409134578</v>
      </c>
      <c r="BB26" s="10"/>
      <c r="BC26" s="10">
        <f t="shared" si="15"/>
        <v>1237412</v>
      </c>
      <c r="BD26" s="10">
        <v>1277687</v>
      </c>
      <c r="BE26" s="10">
        <f t="shared" si="16"/>
        <v>-40275</v>
      </c>
      <c r="BF26" s="5"/>
      <c r="BG26" s="5"/>
      <c r="BH26" s="112"/>
      <c r="BI26" s="112"/>
      <c r="BL26" s="56"/>
      <c r="BM26" s="56"/>
    </row>
    <row r="27" spans="1:65" ht="15" x14ac:dyDescent="0.25">
      <c r="A27" s="20" t="s">
        <v>58</v>
      </c>
      <c r="B27" s="21" t="s">
        <v>61</v>
      </c>
      <c r="C27" s="21" t="s">
        <v>61</v>
      </c>
      <c r="D27" s="10">
        <f>'Tulumaks 2021-2024'!D27*0.025*'Tulumaks 2021-2024'!D$85</f>
        <v>699059.75874309777</v>
      </c>
      <c r="E27" s="10">
        <f>'Tulumaks 2021-2024'!E27*0.025*'Tulumaks 2021-2024'!E$85</f>
        <v>739127.51567151432</v>
      </c>
      <c r="F27" s="10">
        <f>'Tulumaks 2021-2024'!F27*0.025*'Tulumaks 2021-2024'!F$85</f>
        <v>853694.30058997567</v>
      </c>
      <c r="G27" s="10">
        <v>8091269.2683946481</v>
      </c>
      <c r="H27" s="10">
        <v>8559586.1463210694</v>
      </c>
      <c r="I27" s="10">
        <f>'Tulumaks 2021-2024'!O27/11.96*11.89</f>
        <v>9153621.8795986623</v>
      </c>
      <c r="J27" s="10">
        <v>104226.93833571431</v>
      </c>
      <c r="K27" s="4">
        <f t="shared" si="7"/>
        <v>9655564.9324553572</v>
      </c>
      <c r="L27" s="10">
        <v>513</v>
      </c>
      <c r="M27" s="10">
        <v>1304</v>
      </c>
      <c r="N27" s="10">
        <v>949</v>
      </c>
      <c r="O27" s="10">
        <v>6611</v>
      </c>
      <c r="P27" s="10">
        <v>3593</v>
      </c>
      <c r="Q27" s="10">
        <v>3096</v>
      </c>
      <c r="R27" s="10">
        <v>497</v>
      </c>
      <c r="S27" s="10">
        <f t="shared" si="8"/>
        <v>12021</v>
      </c>
      <c r="T27" s="116">
        <v>1</v>
      </c>
      <c r="U27" s="10">
        <v>19</v>
      </c>
      <c r="V27" s="10">
        <v>0</v>
      </c>
      <c r="W27" s="10">
        <v>13</v>
      </c>
      <c r="X27" s="10">
        <v>3</v>
      </c>
      <c r="Y27" s="3">
        <f t="shared" si="9"/>
        <v>12742654.382983608</v>
      </c>
      <c r="Z27" s="10"/>
      <c r="AA27" s="12">
        <f t="shared" si="0"/>
        <v>2778381</v>
      </c>
      <c r="AB27" s="12">
        <v>0</v>
      </c>
      <c r="AC27" s="12">
        <f t="shared" si="1"/>
        <v>2778381</v>
      </c>
      <c r="AD27" s="12">
        <v>651</v>
      </c>
      <c r="AE27" s="12">
        <v>1367</v>
      </c>
      <c r="AF27" s="12">
        <v>1041</v>
      </c>
      <c r="AG27" s="12">
        <v>7870</v>
      </c>
      <c r="AH27" s="12">
        <v>3252</v>
      </c>
      <c r="AI27" s="12">
        <f t="shared" si="10"/>
        <v>13140</v>
      </c>
      <c r="AJ27" s="12">
        <f t="shared" si="2"/>
        <v>13966255.555957073</v>
      </c>
      <c r="AK27" s="12">
        <f t="shared" si="3"/>
        <v>3879622</v>
      </c>
      <c r="AL27" s="12">
        <f t="shared" si="11"/>
        <v>220248.2</v>
      </c>
      <c r="AM27" s="7"/>
      <c r="AN27" s="117"/>
      <c r="AO27" s="7"/>
      <c r="AP27" s="10">
        <v>0</v>
      </c>
      <c r="AQ27" s="10">
        <f t="shared" si="4"/>
        <v>0</v>
      </c>
      <c r="AR27" s="10"/>
      <c r="AS27" s="10">
        <f t="shared" si="5"/>
        <v>0</v>
      </c>
      <c r="AT27" s="10">
        <f t="shared" si="6"/>
        <v>0</v>
      </c>
      <c r="AU27" s="10">
        <f t="shared" si="12"/>
        <v>0</v>
      </c>
      <c r="AV27" s="10">
        <f>'Tulumaks 2021-2024'!J27*0.0188*'Tulumaks 2021-2024'!J$85</f>
        <v>728324.72981473431</v>
      </c>
      <c r="AW27" s="10">
        <v>86</v>
      </c>
      <c r="AX27" s="10">
        <f t="shared" si="13"/>
        <v>0</v>
      </c>
      <c r="AY27" s="10">
        <f>SUM('Tulumaks 2021-2024'!H27:I27)</f>
        <v>17570446.300000001</v>
      </c>
      <c r="AZ27" s="10">
        <v>4612173</v>
      </c>
      <c r="BA27" s="10">
        <f t="shared" si="14"/>
        <v>67380.537155536673</v>
      </c>
      <c r="BB27" s="10"/>
      <c r="BC27" s="10">
        <f t="shared" si="15"/>
        <v>3066010</v>
      </c>
      <c r="BD27" s="10">
        <v>2379250</v>
      </c>
      <c r="BE27" s="10">
        <f t="shared" si="16"/>
        <v>686760</v>
      </c>
      <c r="BF27" s="5"/>
      <c r="BG27" s="5"/>
      <c r="BH27" s="112"/>
      <c r="BI27" s="112"/>
      <c r="BL27" s="56"/>
      <c r="BM27" s="56"/>
    </row>
    <row r="28" spans="1:65" ht="15" x14ac:dyDescent="0.25">
      <c r="A28" s="20" t="s">
        <v>58</v>
      </c>
      <c r="B28" s="21" t="s">
        <v>64</v>
      </c>
      <c r="C28" s="21" t="s">
        <v>294</v>
      </c>
      <c r="D28" s="10">
        <f>'Tulumaks 2021-2024'!D28*0.025*'Tulumaks 2021-2024'!D$85</f>
        <v>217227.9001570557</v>
      </c>
      <c r="E28" s="10">
        <f>'Tulumaks 2021-2024'!E28*0.025*'Tulumaks 2021-2024'!E$85</f>
        <v>235780.75396931943</v>
      </c>
      <c r="F28" s="10">
        <f>'Tulumaks 2021-2024'!F28*0.025*'Tulumaks 2021-2024'!F$85</f>
        <v>275182.01074030931</v>
      </c>
      <c r="G28" s="10">
        <v>4456992.3478260869</v>
      </c>
      <c r="H28" s="10">
        <v>4828931.6295986623</v>
      </c>
      <c r="I28" s="10">
        <f>'Tulumaks 2021-2024'!O28/11.96*11.89</f>
        <v>5408655.6204013377</v>
      </c>
      <c r="J28" s="10">
        <v>147224.33932499972</v>
      </c>
      <c r="K28" s="4">
        <f t="shared" si="7"/>
        <v>5443400.9195628464</v>
      </c>
      <c r="L28" s="10">
        <v>221</v>
      </c>
      <c r="M28" s="10">
        <v>592</v>
      </c>
      <c r="N28" s="10">
        <v>437</v>
      </c>
      <c r="O28" s="10">
        <v>2588</v>
      </c>
      <c r="P28" s="10">
        <v>1112</v>
      </c>
      <c r="Q28" s="10">
        <v>983</v>
      </c>
      <c r="R28" s="10">
        <v>129</v>
      </c>
      <c r="S28" s="10">
        <f t="shared" si="8"/>
        <v>4513</v>
      </c>
      <c r="T28" s="116">
        <v>1.88</v>
      </c>
      <c r="U28" s="10">
        <v>59</v>
      </c>
      <c r="V28" s="10">
        <v>1</v>
      </c>
      <c r="W28" s="10">
        <v>2</v>
      </c>
      <c r="X28" s="10">
        <v>0</v>
      </c>
      <c r="Y28" s="3">
        <f t="shared" si="9"/>
        <v>5448159.3003872177</v>
      </c>
      <c r="Z28" s="10"/>
      <c r="AA28" s="12">
        <f t="shared" si="0"/>
        <v>4283</v>
      </c>
      <c r="AB28" s="12">
        <v>86338</v>
      </c>
      <c r="AC28" s="12">
        <f t="shared" si="1"/>
        <v>90621</v>
      </c>
      <c r="AD28" s="12">
        <v>317</v>
      </c>
      <c r="AE28" s="12">
        <v>627</v>
      </c>
      <c r="AF28" s="12">
        <v>465</v>
      </c>
      <c r="AG28" s="12">
        <v>2865</v>
      </c>
      <c r="AH28" s="12">
        <v>991</v>
      </c>
      <c r="AI28" s="12">
        <f t="shared" si="10"/>
        <v>4800</v>
      </c>
      <c r="AJ28" s="12">
        <f t="shared" si="2"/>
        <v>5996771.2568614092</v>
      </c>
      <c r="AK28" s="12">
        <f t="shared" si="3"/>
        <v>498033</v>
      </c>
      <c r="AL28" s="12">
        <f t="shared" si="11"/>
        <v>98750</v>
      </c>
      <c r="AM28" s="7"/>
      <c r="AN28" s="117"/>
      <c r="AO28" s="7"/>
      <c r="AP28" s="10">
        <v>0</v>
      </c>
      <c r="AQ28" s="10">
        <f t="shared" si="4"/>
        <v>0</v>
      </c>
      <c r="AR28" s="10"/>
      <c r="AS28" s="10">
        <f t="shared" si="5"/>
        <v>0</v>
      </c>
      <c r="AT28" s="10">
        <f t="shared" si="6"/>
        <v>0</v>
      </c>
      <c r="AU28" s="10">
        <f t="shared" si="12"/>
        <v>0</v>
      </c>
      <c r="AV28" s="10">
        <f>'Tulumaks 2021-2024'!J28*0.0188*'Tulumaks 2021-2024'!J$85</f>
        <v>234770.06169984085</v>
      </c>
      <c r="AW28" s="10">
        <v>37</v>
      </c>
      <c r="AX28" s="10">
        <f t="shared" si="13"/>
        <v>0</v>
      </c>
      <c r="AY28" s="10">
        <f>SUM('Tulumaks 2021-2024'!H28:I28)</f>
        <v>5689799.75</v>
      </c>
      <c r="AZ28" s="10">
        <v>2753085</v>
      </c>
      <c r="BA28" s="10">
        <f t="shared" si="14"/>
        <v>23637.691602109746</v>
      </c>
      <c r="BB28" s="10"/>
      <c r="BC28" s="10">
        <f t="shared" si="15"/>
        <v>213009</v>
      </c>
      <c r="BD28" s="10">
        <v>250648</v>
      </c>
      <c r="BE28" s="10">
        <f t="shared" si="16"/>
        <v>-37639</v>
      </c>
      <c r="BF28" s="5"/>
      <c r="BG28" s="5"/>
      <c r="BH28" s="112"/>
      <c r="BI28" s="112"/>
      <c r="BL28" s="56"/>
      <c r="BM28" s="56"/>
    </row>
    <row r="29" spans="1:65" ht="15" x14ac:dyDescent="0.25">
      <c r="A29" s="20" t="s">
        <v>55</v>
      </c>
      <c r="B29" s="21" t="s">
        <v>125</v>
      </c>
      <c r="C29" s="21" t="s">
        <v>55</v>
      </c>
      <c r="D29" s="10">
        <f>'Tulumaks 2021-2024'!D29*0.025*'Tulumaks 2021-2024'!D$85</f>
        <v>608676.44807247038</v>
      </c>
      <c r="E29" s="10">
        <f>'Tulumaks 2021-2024'!E29*0.025*'Tulumaks 2021-2024'!E$85</f>
        <v>642327.0586715932</v>
      </c>
      <c r="F29" s="10">
        <f>'Tulumaks 2021-2024'!F29*0.025*'Tulumaks 2021-2024'!F$85</f>
        <v>739249.5855519207</v>
      </c>
      <c r="G29" s="10">
        <v>10820582.97909699</v>
      </c>
      <c r="H29" s="10">
        <v>11901964.561036788</v>
      </c>
      <c r="I29" s="10">
        <f>'Tulumaks 2021-2024'!O29/11.96*11.89</f>
        <v>12728109.795986623</v>
      </c>
      <c r="J29" s="10">
        <v>514303.12610000011</v>
      </c>
      <c r="K29" s="4">
        <f t="shared" si="7"/>
        <v>13297122.188215679</v>
      </c>
      <c r="L29" s="10">
        <v>864</v>
      </c>
      <c r="M29" s="10">
        <v>1670</v>
      </c>
      <c r="N29" s="10">
        <v>1253</v>
      </c>
      <c r="O29" s="10">
        <v>7336</v>
      </c>
      <c r="P29" s="10">
        <v>3216</v>
      </c>
      <c r="Q29" s="10">
        <v>2831</v>
      </c>
      <c r="R29" s="10">
        <v>385</v>
      </c>
      <c r="S29" s="10">
        <f t="shared" si="8"/>
        <v>13086</v>
      </c>
      <c r="T29" s="116">
        <v>1.55</v>
      </c>
      <c r="U29" s="10">
        <v>48</v>
      </c>
      <c r="V29" s="10">
        <v>39</v>
      </c>
      <c r="W29" s="10">
        <v>7</v>
      </c>
      <c r="X29" s="10">
        <v>2</v>
      </c>
      <c r="Y29" s="3">
        <f t="shared" si="9"/>
        <v>15703381.655499527</v>
      </c>
      <c r="Z29" s="10"/>
      <c r="AA29" s="12">
        <f t="shared" si="0"/>
        <v>2165634</v>
      </c>
      <c r="AB29" s="12">
        <v>0</v>
      </c>
      <c r="AC29" s="12">
        <f t="shared" si="1"/>
        <v>2165634</v>
      </c>
      <c r="AD29" s="12">
        <v>848</v>
      </c>
      <c r="AE29" s="12">
        <v>1637</v>
      </c>
      <c r="AF29" s="12">
        <v>1213</v>
      </c>
      <c r="AG29" s="12">
        <v>8125</v>
      </c>
      <c r="AH29" s="12">
        <v>3111</v>
      </c>
      <c r="AI29" s="12">
        <f t="shared" si="10"/>
        <v>13721</v>
      </c>
      <c r="AJ29" s="12">
        <f t="shared" si="2"/>
        <v>15918807.121197358</v>
      </c>
      <c r="AK29" s="12">
        <f t="shared" si="3"/>
        <v>2359516</v>
      </c>
      <c r="AL29" s="12">
        <f t="shared" si="11"/>
        <v>38776.400000000001</v>
      </c>
      <c r="AM29" s="7"/>
      <c r="AN29" s="117"/>
      <c r="AO29" s="7"/>
      <c r="AP29" s="10">
        <v>0</v>
      </c>
      <c r="AQ29" s="10">
        <f t="shared" si="4"/>
        <v>0</v>
      </c>
      <c r="AR29" s="10">
        <v>1</v>
      </c>
      <c r="AS29" s="10">
        <f t="shared" si="5"/>
        <v>6960</v>
      </c>
      <c r="AT29" s="10">
        <f t="shared" si="6"/>
        <v>0</v>
      </c>
      <c r="AU29" s="10">
        <f t="shared" si="12"/>
        <v>0</v>
      </c>
      <c r="AV29" s="10">
        <f>'Tulumaks 2021-2024'!J29*0.0188*'Tulumaks 2021-2024'!J$85</f>
        <v>630686.83285183832</v>
      </c>
      <c r="AW29" s="10">
        <v>197</v>
      </c>
      <c r="AX29" s="10">
        <f t="shared" si="13"/>
        <v>258309.16714816168</v>
      </c>
      <c r="AY29" s="10">
        <f>SUM('Tulumaks 2021-2024'!H29:I29)</f>
        <v>15217887.859999998</v>
      </c>
      <c r="AZ29" s="10">
        <v>6608896</v>
      </c>
      <c r="BA29" s="10">
        <f t="shared" si="14"/>
        <v>62132.151673470478</v>
      </c>
      <c r="BB29" s="10"/>
      <c r="BC29" s="10">
        <f t="shared" si="15"/>
        <v>2531812</v>
      </c>
      <c r="BD29" s="10">
        <v>1764373</v>
      </c>
      <c r="BE29" s="10">
        <f t="shared" si="16"/>
        <v>767439</v>
      </c>
      <c r="BF29" s="5"/>
      <c r="BG29" s="5"/>
      <c r="BH29" s="112"/>
      <c r="BI29" s="112"/>
      <c r="BL29" s="56"/>
      <c r="BM29" s="56"/>
    </row>
    <row r="30" spans="1:65" ht="15" x14ac:dyDescent="0.25">
      <c r="A30" s="20" t="s">
        <v>55</v>
      </c>
      <c r="B30" s="21" t="s">
        <v>219</v>
      </c>
      <c r="C30" s="21" t="s">
        <v>54</v>
      </c>
      <c r="D30" s="10">
        <f>'Tulumaks 2021-2024'!D30*0.025*'Tulumaks 2021-2024'!D$85</f>
        <v>253203.96472863641</v>
      </c>
      <c r="E30" s="10">
        <f>'Tulumaks 2021-2024'!E30*0.025*'Tulumaks 2021-2024'!E$85</f>
        <v>266116.28753190965</v>
      </c>
      <c r="F30" s="10">
        <f>'Tulumaks 2021-2024'!F30*0.025*'Tulumaks 2021-2024'!F$85</f>
        <v>306794.22609930905</v>
      </c>
      <c r="G30" s="10">
        <v>3487484.1337792641</v>
      </c>
      <c r="H30" s="10">
        <v>3893017.6362876254</v>
      </c>
      <c r="I30" s="10">
        <f>'Tulumaks 2021-2024'!O30/11.96*11.89</f>
        <v>4225056.8219063543</v>
      </c>
      <c r="J30" s="10">
        <v>312853.24660000048</v>
      </c>
      <c r="K30" s="4">
        <f t="shared" si="7"/>
        <v>4574656.5674502719</v>
      </c>
      <c r="L30" s="10">
        <v>223</v>
      </c>
      <c r="M30" s="10">
        <v>539</v>
      </c>
      <c r="N30" s="10">
        <v>385</v>
      </c>
      <c r="O30" s="10">
        <v>3043</v>
      </c>
      <c r="P30" s="10">
        <v>1421</v>
      </c>
      <c r="Q30" s="10">
        <v>1190</v>
      </c>
      <c r="R30" s="10">
        <v>231</v>
      </c>
      <c r="S30" s="10">
        <f t="shared" si="8"/>
        <v>5226</v>
      </c>
      <c r="T30" s="116">
        <v>1.85</v>
      </c>
      <c r="U30" s="10">
        <v>70</v>
      </c>
      <c r="V30" s="10">
        <v>5</v>
      </c>
      <c r="W30" s="10">
        <v>0</v>
      </c>
      <c r="X30" s="10">
        <v>0</v>
      </c>
      <c r="Y30" s="3">
        <f t="shared" si="9"/>
        <v>5883908.0921868812</v>
      </c>
      <c r="Z30" s="10"/>
      <c r="AA30" s="12">
        <f t="shared" si="0"/>
        <v>1178326</v>
      </c>
      <c r="AB30" s="12">
        <v>0</v>
      </c>
      <c r="AC30" s="12">
        <f t="shared" si="1"/>
        <v>1178326</v>
      </c>
      <c r="AD30" s="12">
        <v>236</v>
      </c>
      <c r="AE30" s="12">
        <v>566</v>
      </c>
      <c r="AF30" s="12">
        <v>415</v>
      </c>
      <c r="AG30" s="12">
        <v>3348</v>
      </c>
      <c r="AH30" s="12">
        <v>1430</v>
      </c>
      <c r="AI30" s="12">
        <f t="shared" si="10"/>
        <v>5580</v>
      </c>
      <c r="AJ30" s="12">
        <f t="shared" si="2"/>
        <v>6230683.6710066348</v>
      </c>
      <c r="AK30" s="12">
        <f t="shared" si="3"/>
        <v>1490424</v>
      </c>
      <c r="AL30" s="12">
        <f t="shared" si="11"/>
        <v>62419.600000000006</v>
      </c>
      <c r="AM30" s="7"/>
      <c r="AN30" s="117"/>
      <c r="AO30" s="7"/>
      <c r="AP30" s="10">
        <v>0</v>
      </c>
      <c r="AQ30" s="10">
        <f t="shared" si="4"/>
        <v>0</v>
      </c>
      <c r="AR30" s="10"/>
      <c r="AS30" s="10">
        <f t="shared" si="5"/>
        <v>0</v>
      </c>
      <c r="AT30" s="10">
        <f t="shared" si="6"/>
        <v>0</v>
      </c>
      <c r="AU30" s="10">
        <f t="shared" si="12"/>
        <v>0</v>
      </c>
      <c r="AV30" s="10">
        <f>'Tulumaks 2021-2024'!J30*0.0188*'Tulumaks 2021-2024'!J$85</f>
        <v>261739.85427579828</v>
      </c>
      <c r="AW30" s="10">
        <v>84</v>
      </c>
      <c r="AX30" s="10">
        <f t="shared" si="13"/>
        <v>120292.14572420172</v>
      </c>
      <c r="AY30" s="10">
        <f>SUM('Tulumaks 2021-2024'!H30:I30)</f>
        <v>6306646.4800000004</v>
      </c>
      <c r="AZ30" s="10">
        <v>2169423</v>
      </c>
      <c r="BA30" s="10">
        <f t="shared" si="14"/>
        <v>24927.060435987616</v>
      </c>
      <c r="BB30" s="10"/>
      <c r="BC30" s="10">
        <f t="shared" si="15"/>
        <v>1385965</v>
      </c>
      <c r="BD30" s="10">
        <v>1125134</v>
      </c>
      <c r="BE30" s="10">
        <f t="shared" si="16"/>
        <v>260831</v>
      </c>
      <c r="BF30" s="5"/>
      <c r="BG30" s="5"/>
      <c r="BH30" s="112"/>
      <c r="BI30" s="112"/>
      <c r="BL30" s="56"/>
      <c r="BM30" s="56"/>
    </row>
    <row r="31" spans="1:65" ht="15" x14ac:dyDescent="0.25">
      <c r="A31" s="20" t="s">
        <v>55</v>
      </c>
      <c r="B31" s="21" t="s">
        <v>124</v>
      </c>
      <c r="C31" s="21" t="s">
        <v>56</v>
      </c>
      <c r="D31" s="10">
        <f>'Tulumaks 2021-2024'!D31*0.025*'Tulumaks 2021-2024'!D$85</f>
        <v>452257.27988624841</v>
      </c>
      <c r="E31" s="10">
        <f>'Tulumaks 2021-2024'!E31*0.025*'Tulumaks 2021-2024'!E$85</f>
        <v>472551.11742776673</v>
      </c>
      <c r="F31" s="10">
        <f>'Tulumaks 2021-2024'!F31*0.025*'Tulumaks 2021-2024'!F$85</f>
        <v>539246.042602562</v>
      </c>
      <c r="G31" s="10">
        <v>7968009.9331103675</v>
      </c>
      <c r="H31" s="10">
        <v>8626256.6371237449</v>
      </c>
      <c r="I31" s="10">
        <f>'Tulumaks 2021-2024'!O31/11.96*11.89</f>
        <v>9295049.2541806009</v>
      </c>
      <c r="J31" s="10">
        <v>424061.86584999959</v>
      </c>
      <c r="K31" s="4">
        <f t="shared" si="7"/>
        <v>9754905.2832063567</v>
      </c>
      <c r="L31" s="10">
        <v>626</v>
      </c>
      <c r="M31" s="10">
        <v>1091</v>
      </c>
      <c r="N31" s="10">
        <v>847</v>
      </c>
      <c r="O31" s="10">
        <v>5193</v>
      </c>
      <c r="P31" s="10">
        <v>2386</v>
      </c>
      <c r="Q31" s="10">
        <v>1992</v>
      </c>
      <c r="R31" s="10">
        <v>394</v>
      </c>
      <c r="S31" s="10">
        <f t="shared" si="8"/>
        <v>9296</v>
      </c>
      <c r="T31" s="116">
        <v>1.61</v>
      </c>
      <c r="U31" s="10">
        <v>116</v>
      </c>
      <c r="V31" s="10">
        <v>2</v>
      </c>
      <c r="W31" s="10">
        <v>9</v>
      </c>
      <c r="X31" s="10">
        <v>4</v>
      </c>
      <c r="Y31" s="3">
        <f t="shared" si="9"/>
        <v>11570216.44620824</v>
      </c>
      <c r="Z31" s="10"/>
      <c r="AA31" s="12">
        <f t="shared" si="0"/>
        <v>1633780</v>
      </c>
      <c r="AB31" s="12">
        <v>19211.770079573616</v>
      </c>
      <c r="AC31" s="12">
        <f t="shared" si="1"/>
        <v>1652991.7700795736</v>
      </c>
      <c r="AD31" s="12">
        <v>580</v>
      </c>
      <c r="AE31" s="12">
        <v>1143</v>
      </c>
      <c r="AF31" s="12">
        <v>817</v>
      </c>
      <c r="AG31" s="12">
        <v>5801</v>
      </c>
      <c r="AH31" s="12">
        <v>2336</v>
      </c>
      <c r="AI31" s="12">
        <f t="shared" si="10"/>
        <v>9860</v>
      </c>
      <c r="AJ31" s="12">
        <f t="shared" si="2"/>
        <v>11678587.813154437</v>
      </c>
      <c r="AK31" s="12">
        <f t="shared" si="3"/>
        <v>1731314</v>
      </c>
      <c r="AL31" s="12">
        <f t="shared" si="11"/>
        <v>19506.8</v>
      </c>
      <c r="AM31" s="7"/>
      <c r="AN31" s="117"/>
      <c r="AO31" s="7"/>
      <c r="AP31" s="10">
        <v>137936</v>
      </c>
      <c r="AQ31" s="10">
        <f t="shared" si="4"/>
        <v>98624</v>
      </c>
      <c r="AR31" s="10">
        <v>15</v>
      </c>
      <c r="AS31" s="10">
        <f t="shared" si="5"/>
        <v>104400</v>
      </c>
      <c r="AT31" s="10">
        <f t="shared" si="6"/>
        <v>0</v>
      </c>
      <c r="AU31" s="10">
        <f t="shared" si="12"/>
        <v>0</v>
      </c>
      <c r="AV31" s="10">
        <f>'Tulumaks 2021-2024'!J31*0.0188*'Tulumaks 2021-2024'!J$85</f>
        <v>460054.87914204708</v>
      </c>
      <c r="AW31" s="10">
        <v>161</v>
      </c>
      <c r="AX31" s="10">
        <f t="shared" si="13"/>
        <v>167773.12085795292</v>
      </c>
      <c r="AY31" s="10">
        <f>SUM('Tulumaks 2021-2024'!H31:I31)</f>
        <v>11060455.34</v>
      </c>
      <c r="AZ31" s="10">
        <v>4779843</v>
      </c>
      <c r="BA31" s="10">
        <f t="shared" si="14"/>
        <v>45124.050845473153</v>
      </c>
      <c r="BB31" s="10"/>
      <c r="BC31" s="10">
        <f t="shared" si="15"/>
        <v>2088420</v>
      </c>
      <c r="BD31" s="10">
        <v>1486038</v>
      </c>
      <c r="BE31" s="10">
        <f t="shared" si="16"/>
        <v>602382</v>
      </c>
      <c r="BF31" s="5"/>
      <c r="BG31" s="5"/>
      <c r="BH31" s="112"/>
      <c r="BI31" s="112"/>
      <c r="BL31" s="56"/>
      <c r="BM31" s="56"/>
    </row>
    <row r="32" spans="1:65" ht="15" x14ac:dyDescent="0.25">
      <c r="A32" s="20" t="s">
        <v>52</v>
      </c>
      <c r="B32" s="21" t="s">
        <v>220</v>
      </c>
      <c r="C32" s="21" t="s">
        <v>52</v>
      </c>
      <c r="D32" s="10">
        <f>'Tulumaks 2021-2024'!D32*0.025*'Tulumaks 2021-2024'!D$85</f>
        <v>369841.83464358002</v>
      </c>
      <c r="E32" s="10">
        <f>'Tulumaks 2021-2024'!E32*0.025*'Tulumaks 2021-2024'!E$85</f>
        <v>389501.61310131499</v>
      </c>
      <c r="F32" s="10">
        <f>'Tulumaks 2021-2024'!F32*0.025*'Tulumaks 2021-2024'!F$85</f>
        <v>453130.70448997122</v>
      </c>
      <c r="G32" s="10">
        <v>7586167.9515050165</v>
      </c>
      <c r="H32" s="10">
        <v>8262822.2842809362</v>
      </c>
      <c r="I32" s="10">
        <f>'Tulumaks 2021-2024'!O32/11.96*11.89</f>
        <v>8842202.3001672234</v>
      </c>
      <c r="J32" s="10">
        <v>622096.84460000019</v>
      </c>
      <c r="K32" s="4">
        <f t="shared" si="7"/>
        <v>9456662.4733729921</v>
      </c>
      <c r="L32" s="10">
        <v>631</v>
      </c>
      <c r="M32" s="10">
        <v>1217</v>
      </c>
      <c r="N32" s="10">
        <v>895</v>
      </c>
      <c r="O32" s="10">
        <v>4873</v>
      </c>
      <c r="P32" s="10">
        <v>2005</v>
      </c>
      <c r="Q32" s="10">
        <v>1751</v>
      </c>
      <c r="R32" s="10">
        <v>254</v>
      </c>
      <c r="S32" s="10">
        <f t="shared" si="8"/>
        <v>8726</v>
      </c>
      <c r="T32" s="116">
        <v>2</v>
      </c>
      <c r="U32" s="10">
        <v>121</v>
      </c>
      <c r="V32" s="10">
        <v>4</v>
      </c>
      <c r="W32" s="10">
        <v>5</v>
      </c>
      <c r="X32" s="10">
        <v>0</v>
      </c>
      <c r="Y32" s="3">
        <f t="shared" si="9"/>
        <v>11507880.756597098</v>
      </c>
      <c r="Z32" s="10"/>
      <c r="AA32" s="12">
        <f t="shared" si="0"/>
        <v>1846096</v>
      </c>
      <c r="AB32" s="12">
        <v>12817</v>
      </c>
      <c r="AC32" s="12">
        <f t="shared" si="1"/>
        <v>1858913</v>
      </c>
      <c r="AD32" s="12">
        <v>637</v>
      </c>
      <c r="AE32" s="12">
        <v>1122</v>
      </c>
      <c r="AF32" s="12">
        <v>876</v>
      </c>
      <c r="AG32" s="12">
        <v>5335</v>
      </c>
      <c r="AH32" s="12">
        <v>1934</v>
      </c>
      <c r="AI32" s="12">
        <f t="shared" si="10"/>
        <v>9028</v>
      </c>
      <c r="AJ32" s="12">
        <f t="shared" si="2"/>
        <v>11637738.070571955</v>
      </c>
      <c r="AK32" s="12">
        <f t="shared" si="3"/>
        <v>1962968</v>
      </c>
      <c r="AL32" s="12">
        <f t="shared" si="11"/>
        <v>23374.400000000001</v>
      </c>
      <c r="AM32" s="7"/>
      <c r="AN32" s="117"/>
      <c r="AO32" s="7"/>
      <c r="AP32" s="10">
        <v>24440</v>
      </c>
      <c r="AQ32" s="10">
        <f t="shared" si="4"/>
        <v>17475</v>
      </c>
      <c r="AR32" s="10">
        <v>1</v>
      </c>
      <c r="AS32" s="10">
        <f t="shared" si="5"/>
        <v>6960</v>
      </c>
      <c r="AT32" s="10">
        <f t="shared" si="6"/>
        <v>0</v>
      </c>
      <c r="AU32" s="10">
        <f t="shared" si="12"/>
        <v>0</v>
      </c>
      <c r="AV32" s="10">
        <f>'Tulumaks 2021-2024'!J32*0.0188*'Tulumaks 2021-2024'!J$85</f>
        <v>386586.03869129979</v>
      </c>
      <c r="AW32" s="10">
        <v>116</v>
      </c>
      <c r="AX32" s="10">
        <f t="shared" si="13"/>
        <v>134021.96130870021</v>
      </c>
      <c r="AY32" s="10">
        <f>SUM('Tulumaks 2021-2024'!H32:I32)</f>
        <v>9338071.0999999996</v>
      </c>
      <c r="AZ32" s="10">
        <v>4566238</v>
      </c>
      <c r="BA32" s="10">
        <f t="shared" si="14"/>
        <v>38863.183874355083</v>
      </c>
      <c r="BB32" s="10"/>
      <c r="BC32" s="10">
        <f t="shared" si="15"/>
        <v>2079608</v>
      </c>
      <c r="BD32" s="10">
        <v>1771038</v>
      </c>
      <c r="BE32" s="10">
        <f t="shared" si="16"/>
        <v>308570</v>
      </c>
      <c r="BF32" s="5"/>
      <c r="BG32" s="5"/>
      <c r="BH32" s="112"/>
      <c r="BI32" s="112"/>
      <c r="BL32" s="56"/>
      <c r="BM32" s="56"/>
    </row>
    <row r="33" spans="1:65" ht="15" x14ac:dyDescent="0.25">
      <c r="A33" s="20" t="s">
        <v>52</v>
      </c>
      <c r="B33" s="21" t="s">
        <v>51</v>
      </c>
      <c r="C33" s="21" t="s">
        <v>51</v>
      </c>
      <c r="D33" s="10">
        <f>'Tulumaks 2021-2024'!D33*0.025*'Tulumaks 2021-2024'!D$85</f>
        <v>473900.12015018158</v>
      </c>
      <c r="E33" s="10">
        <f>'Tulumaks 2021-2024'!E33*0.025*'Tulumaks 2021-2024'!E$85</f>
        <v>498497.23141622503</v>
      </c>
      <c r="F33" s="10">
        <f>'Tulumaks 2021-2024'!F33*0.025*'Tulumaks 2021-2024'!F$85</f>
        <v>577055.49422252097</v>
      </c>
      <c r="G33" s="10">
        <v>9500162.6897993311</v>
      </c>
      <c r="H33" s="10">
        <v>10298780.984113712</v>
      </c>
      <c r="I33" s="10">
        <f>'Tulumaks 2021-2024'!O33/11.96*11.89</f>
        <v>11307154.387123745</v>
      </c>
      <c r="J33" s="10">
        <v>300018.86805000046</v>
      </c>
      <c r="K33" s="4">
        <f t="shared" si="7"/>
        <v>11476119.835372018</v>
      </c>
      <c r="L33" s="10">
        <v>690</v>
      </c>
      <c r="M33" s="10">
        <v>1383</v>
      </c>
      <c r="N33" s="10">
        <v>1044</v>
      </c>
      <c r="O33" s="10">
        <v>5695</v>
      </c>
      <c r="P33" s="10">
        <v>2529</v>
      </c>
      <c r="Q33" s="10">
        <v>2197</v>
      </c>
      <c r="R33" s="10">
        <v>332</v>
      </c>
      <c r="S33" s="10">
        <f t="shared" si="8"/>
        <v>10297</v>
      </c>
      <c r="T33" s="116">
        <v>1.21</v>
      </c>
      <c r="U33" s="10">
        <v>52</v>
      </c>
      <c r="V33" s="10">
        <v>4</v>
      </c>
      <c r="W33" s="10">
        <v>1</v>
      </c>
      <c r="X33" s="10">
        <v>1</v>
      </c>
      <c r="Y33" s="3">
        <f t="shared" si="9"/>
        <v>11988161.098278323</v>
      </c>
      <c r="Z33" s="10"/>
      <c r="AA33" s="12">
        <f t="shared" si="0"/>
        <v>460837</v>
      </c>
      <c r="AB33" s="12">
        <v>0</v>
      </c>
      <c r="AC33" s="12">
        <f t="shared" si="1"/>
        <v>460837</v>
      </c>
      <c r="AD33" s="12">
        <v>687</v>
      </c>
      <c r="AE33" s="12">
        <v>1344</v>
      </c>
      <c r="AF33" s="12">
        <v>1056</v>
      </c>
      <c r="AG33" s="12">
        <v>6295</v>
      </c>
      <c r="AH33" s="12">
        <v>2408</v>
      </c>
      <c r="AI33" s="12">
        <f t="shared" si="10"/>
        <v>10734</v>
      </c>
      <c r="AJ33" s="12">
        <f t="shared" si="2"/>
        <v>12238375.403035067</v>
      </c>
      <c r="AK33" s="12">
        <f t="shared" si="3"/>
        <v>686030</v>
      </c>
      <c r="AL33" s="12">
        <f t="shared" si="11"/>
        <v>45038.600000000006</v>
      </c>
      <c r="AM33" s="7"/>
      <c r="AN33" s="117"/>
      <c r="AO33" s="7"/>
      <c r="AP33" s="10">
        <v>825</v>
      </c>
      <c r="AQ33" s="10">
        <f t="shared" si="4"/>
        <v>590</v>
      </c>
      <c r="AR33" s="10"/>
      <c r="AS33" s="10">
        <f t="shared" si="5"/>
        <v>0</v>
      </c>
      <c r="AT33" s="10">
        <f t="shared" si="6"/>
        <v>0</v>
      </c>
      <c r="AU33" s="10">
        <f t="shared" si="12"/>
        <v>0</v>
      </c>
      <c r="AV33" s="10">
        <f>'Tulumaks 2021-2024'!J33*0.0188*'Tulumaks 2021-2024'!J$85</f>
        <v>492311.81071171915</v>
      </c>
      <c r="AW33" s="10">
        <v>90</v>
      </c>
      <c r="AX33" s="10">
        <f t="shared" si="13"/>
        <v>0</v>
      </c>
      <c r="AY33" s="10">
        <f>SUM('Tulumaks 2021-2024'!H33:I33)</f>
        <v>11896655.529999999</v>
      </c>
      <c r="AZ33" s="10">
        <v>5803798</v>
      </c>
      <c r="BA33" s="10">
        <f t="shared" si="14"/>
        <v>49491.91914252549</v>
      </c>
      <c r="BB33" s="10"/>
      <c r="BC33" s="10">
        <f t="shared" si="15"/>
        <v>555958</v>
      </c>
      <c r="BD33" s="10">
        <v>207585</v>
      </c>
      <c r="BE33" s="10">
        <f t="shared" si="16"/>
        <v>348373</v>
      </c>
      <c r="BF33" s="5"/>
      <c r="BG33" s="5"/>
      <c r="BH33" s="112"/>
      <c r="BI33" s="112"/>
      <c r="BL33" s="56"/>
      <c r="BM33" s="56"/>
    </row>
    <row r="34" spans="1:65" ht="15" x14ac:dyDescent="0.25">
      <c r="A34" s="20" t="s">
        <v>52</v>
      </c>
      <c r="B34" s="21" t="s">
        <v>123</v>
      </c>
      <c r="C34" s="21" t="s">
        <v>53</v>
      </c>
      <c r="D34" s="10">
        <f>'Tulumaks 2021-2024'!D34*0.025*'Tulumaks 2021-2024'!D$85</f>
        <v>506666.27236333321</v>
      </c>
      <c r="E34" s="10">
        <f>'Tulumaks 2021-2024'!E34*0.025*'Tulumaks 2021-2024'!E$85</f>
        <v>536621.85180290334</v>
      </c>
      <c r="F34" s="10">
        <f>'Tulumaks 2021-2024'!F34*0.025*'Tulumaks 2021-2024'!F$85</f>
        <v>623125.71305325557</v>
      </c>
      <c r="G34" s="10">
        <v>8987638.0760869551</v>
      </c>
      <c r="H34" s="10">
        <v>9945767.2817725763</v>
      </c>
      <c r="I34" s="10">
        <f>'Tulumaks 2021-2024'!O34/11.96*11.89</f>
        <v>10766800.612040132</v>
      </c>
      <c r="J34" s="10">
        <v>533629.79792499985</v>
      </c>
      <c r="K34" s="4">
        <f t="shared" si="7"/>
        <v>11272170.570234396</v>
      </c>
      <c r="L34" s="10">
        <v>720</v>
      </c>
      <c r="M34" s="10">
        <v>1293</v>
      </c>
      <c r="N34" s="10">
        <v>981</v>
      </c>
      <c r="O34" s="10">
        <v>5879</v>
      </c>
      <c r="P34" s="10">
        <v>2696</v>
      </c>
      <c r="Q34" s="10">
        <v>2344</v>
      </c>
      <c r="R34" s="10">
        <v>352</v>
      </c>
      <c r="S34" s="10">
        <f t="shared" si="8"/>
        <v>10588</v>
      </c>
      <c r="T34" s="116">
        <v>1.39</v>
      </c>
      <c r="U34" s="10">
        <v>107</v>
      </c>
      <c r="V34" s="10">
        <v>9</v>
      </c>
      <c r="W34" s="10">
        <v>10</v>
      </c>
      <c r="X34" s="10">
        <v>1</v>
      </c>
      <c r="Y34" s="3">
        <f t="shared" si="9"/>
        <v>12782154.012330651</v>
      </c>
      <c r="Z34" s="10"/>
      <c r="AA34" s="12">
        <f t="shared" si="0"/>
        <v>1358985</v>
      </c>
      <c r="AB34" s="12">
        <v>0</v>
      </c>
      <c r="AC34" s="12">
        <f t="shared" si="1"/>
        <v>1358985</v>
      </c>
      <c r="AD34" s="12">
        <v>654</v>
      </c>
      <c r="AE34" s="12">
        <v>1273</v>
      </c>
      <c r="AF34" s="12">
        <v>965</v>
      </c>
      <c r="AG34" s="12">
        <v>6383</v>
      </c>
      <c r="AH34" s="12">
        <v>2615</v>
      </c>
      <c r="AI34" s="12">
        <f t="shared" si="10"/>
        <v>10925</v>
      </c>
      <c r="AJ34" s="12">
        <f t="shared" si="2"/>
        <v>12711394.407783264</v>
      </c>
      <c r="AK34" s="12">
        <f t="shared" si="3"/>
        <v>1295301</v>
      </c>
      <c r="AL34" s="12">
        <f t="shared" si="11"/>
        <v>0</v>
      </c>
      <c r="AM34" s="7"/>
      <c r="AN34" s="117"/>
      <c r="AO34" s="7"/>
      <c r="AP34" s="10">
        <v>3391</v>
      </c>
      <c r="AQ34" s="10">
        <f t="shared" si="4"/>
        <v>2425</v>
      </c>
      <c r="AR34" s="10"/>
      <c r="AS34" s="10">
        <f t="shared" si="5"/>
        <v>0</v>
      </c>
      <c r="AT34" s="10">
        <f t="shared" si="6"/>
        <v>0</v>
      </c>
      <c r="AU34" s="10">
        <f t="shared" si="12"/>
        <v>0</v>
      </c>
      <c r="AV34" s="10">
        <f>'Tulumaks 2021-2024'!J34*0.0188*'Tulumaks 2021-2024'!J$85</f>
        <v>531616.37167600309</v>
      </c>
      <c r="AW34" s="10">
        <v>106</v>
      </c>
      <c r="AX34" s="10">
        <f t="shared" si="13"/>
        <v>0</v>
      </c>
      <c r="AY34" s="10">
        <f>SUM('Tulumaks 2021-2024'!H34:I34)</f>
        <v>12831438.380000001</v>
      </c>
      <c r="AZ34" s="10">
        <v>5538906</v>
      </c>
      <c r="BA34" s="10">
        <f t="shared" si="14"/>
        <v>52340.182517827889</v>
      </c>
      <c r="BB34" s="10"/>
      <c r="BC34" s="10">
        <f t="shared" si="15"/>
        <v>1413750</v>
      </c>
      <c r="BD34" s="10">
        <v>1069809</v>
      </c>
      <c r="BE34" s="10">
        <f t="shared" si="16"/>
        <v>343941</v>
      </c>
      <c r="BF34" s="5"/>
      <c r="BG34" s="5"/>
      <c r="BH34" s="112"/>
      <c r="BI34" s="112"/>
      <c r="BL34" s="56"/>
      <c r="BM34" s="56"/>
    </row>
    <row r="35" spans="1:65" ht="24.75" x14ac:dyDescent="0.25">
      <c r="A35" s="20" t="s">
        <v>47</v>
      </c>
      <c r="B35" s="21" t="s">
        <v>48</v>
      </c>
      <c r="C35" s="21" t="s">
        <v>48</v>
      </c>
      <c r="D35" s="10">
        <f>'Tulumaks 2021-2024'!D35*0.025*'Tulumaks 2021-2024'!D$85</f>
        <v>619121.93526028993</v>
      </c>
      <c r="E35" s="10">
        <f>'Tulumaks 2021-2024'!E35*0.025*'Tulumaks 2021-2024'!E$85</f>
        <v>667353.53608460922</v>
      </c>
      <c r="F35" s="10">
        <f>'Tulumaks 2021-2024'!F35*0.025*'Tulumaks 2021-2024'!F$85</f>
        <v>774897.71579488087</v>
      </c>
      <c r="G35" s="10">
        <v>10808892.802675586</v>
      </c>
      <c r="H35" s="10">
        <v>11933374.640468227</v>
      </c>
      <c r="I35" s="10">
        <f>'Tulumaks 2021-2024'!O35/11.96*11.89</f>
        <v>13044967.36036789</v>
      </c>
      <c r="J35" s="10">
        <v>402221.10222499893</v>
      </c>
      <c r="K35" s="4">
        <f t="shared" si="7"/>
        <v>13377975.040859409</v>
      </c>
      <c r="L35" s="10">
        <v>829</v>
      </c>
      <c r="M35" s="10">
        <v>1761</v>
      </c>
      <c r="N35" s="10">
        <v>1303</v>
      </c>
      <c r="O35" s="10">
        <v>7012</v>
      </c>
      <c r="P35" s="10">
        <v>3396</v>
      </c>
      <c r="Q35" s="10">
        <v>2939</v>
      </c>
      <c r="R35" s="10">
        <v>457</v>
      </c>
      <c r="S35" s="10">
        <f t="shared" si="8"/>
        <v>12998</v>
      </c>
      <c r="T35" s="116">
        <v>1.1499999999999999</v>
      </c>
      <c r="U35" s="10">
        <v>24</v>
      </c>
      <c r="V35" s="10">
        <v>4</v>
      </c>
      <c r="W35" s="10">
        <v>1</v>
      </c>
      <c r="X35" s="10">
        <v>2</v>
      </c>
      <c r="Y35" s="3">
        <f t="shared" si="9"/>
        <v>14882256.238054842</v>
      </c>
      <c r="Z35" s="10"/>
      <c r="AA35" s="12">
        <f t="shared" si="0"/>
        <v>1353853</v>
      </c>
      <c r="AB35" s="12">
        <v>0</v>
      </c>
      <c r="AC35" s="12">
        <f t="shared" si="1"/>
        <v>1353853</v>
      </c>
      <c r="AD35" s="12">
        <v>848</v>
      </c>
      <c r="AE35" s="12">
        <v>1688</v>
      </c>
      <c r="AF35" s="12">
        <v>1302</v>
      </c>
      <c r="AG35" s="12">
        <v>7732</v>
      </c>
      <c r="AH35" s="12">
        <v>3162</v>
      </c>
      <c r="AI35" s="12">
        <f t="shared" si="10"/>
        <v>13430</v>
      </c>
      <c r="AJ35" s="12">
        <f t="shared" si="2"/>
        <v>15148998.429179041</v>
      </c>
      <c r="AK35" s="12">
        <f t="shared" si="3"/>
        <v>1593921</v>
      </c>
      <c r="AL35" s="12">
        <f t="shared" si="11"/>
        <v>48013.600000000006</v>
      </c>
      <c r="AM35" s="7"/>
      <c r="AN35" s="117"/>
      <c r="AO35" s="7"/>
      <c r="AP35" s="10">
        <v>1782</v>
      </c>
      <c r="AQ35" s="10">
        <f t="shared" si="4"/>
        <v>1274</v>
      </c>
      <c r="AR35" s="10"/>
      <c r="AS35" s="10">
        <f t="shared" si="5"/>
        <v>0</v>
      </c>
      <c r="AT35" s="10">
        <f t="shared" si="6"/>
        <v>0</v>
      </c>
      <c r="AU35" s="10">
        <f t="shared" si="12"/>
        <v>0</v>
      </c>
      <c r="AV35" s="10">
        <f>'Tulumaks 2021-2024'!J35*0.0188*'Tulumaks 2021-2024'!J$85</f>
        <v>661099.84464032203</v>
      </c>
      <c r="AW35" s="10">
        <v>114</v>
      </c>
      <c r="AX35" s="10">
        <f t="shared" si="13"/>
        <v>0</v>
      </c>
      <c r="AY35" s="10">
        <f>SUM('Tulumaks 2021-2024'!H35:I35)</f>
        <v>15956607.5</v>
      </c>
      <c r="AZ35" s="10">
        <v>6774282</v>
      </c>
      <c r="BA35" s="10">
        <f t="shared" si="14"/>
        <v>64923.879539239053</v>
      </c>
      <c r="BB35" s="10"/>
      <c r="BC35" s="10">
        <f t="shared" si="15"/>
        <v>1468064</v>
      </c>
      <c r="BD35" s="10">
        <v>1336630</v>
      </c>
      <c r="BE35" s="10">
        <f t="shared" si="16"/>
        <v>131434</v>
      </c>
      <c r="BF35" s="5"/>
      <c r="BG35" s="5"/>
      <c r="BH35" s="112"/>
      <c r="BI35" s="112"/>
      <c r="BL35" s="56"/>
      <c r="BM35" s="56"/>
    </row>
    <row r="36" spans="1:65" ht="15" x14ac:dyDescent="0.25">
      <c r="A36" s="20" t="s">
        <v>47</v>
      </c>
      <c r="B36" s="21" t="s">
        <v>122</v>
      </c>
      <c r="C36" s="21" t="s">
        <v>50</v>
      </c>
      <c r="D36" s="10">
        <f>'Tulumaks 2021-2024'!D36*0.025*'Tulumaks 2021-2024'!D$85</f>
        <v>306807.65735134226</v>
      </c>
      <c r="E36" s="10">
        <f>'Tulumaks 2021-2024'!E36*0.025*'Tulumaks 2021-2024'!E$85</f>
        <v>328288.25408149138</v>
      </c>
      <c r="F36" s="10">
        <f>'Tulumaks 2021-2024'!F36*0.025*'Tulumaks 2021-2024'!F$85</f>
        <v>386640.2378199115</v>
      </c>
      <c r="G36" s="10">
        <v>6069775.4096989967</v>
      </c>
      <c r="H36" s="10">
        <v>6744151.1571906349</v>
      </c>
      <c r="I36" s="10">
        <f>'Tulumaks 2021-2024'!O36/11.96*11.89</f>
        <v>7356119.3168896325</v>
      </c>
      <c r="J36" s="10">
        <v>538473.99680000055</v>
      </c>
      <c r="K36" s="4">
        <f t="shared" si="7"/>
        <v>7806902.2109464789</v>
      </c>
      <c r="L36" s="10">
        <v>504</v>
      </c>
      <c r="M36" s="10">
        <v>919</v>
      </c>
      <c r="N36" s="10">
        <v>705</v>
      </c>
      <c r="O36" s="10">
        <v>4098</v>
      </c>
      <c r="P36" s="10">
        <v>1680</v>
      </c>
      <c r="Q36" s="10">
        <v>1474</v>
      </c>
      <c r="R36" s="10">
        <v>206</v>
      </c>
      <c r="S36" s="10">
        <f t="shared" si="8"/>
        <v>7201</v>
      </c>
      <c r="T36" s="116">
        <v>2.0299999999999998</v>
      </c>
      <c r="U36" s="10">
        <v>35</v>
      </c>
      <c r="V36" s="10">
        <v>0</v>
      </c>
      <c r="W36" s="10">
        <v>4</v>
      </c>
      <c r="X36" s="10">
        <v>1</v>
      </c>
      <c r="Y36" s="3">
        <f t="shared" si="9"/>
        <v>9195484.977344878</v>
      </c>
      <c r="Z36" s="10"/>
      <c r="AA36" s="12">
        <f t="shared" si="0"/>
        <v>1249724</v>
      </c>
      <c r="AB36" s="12">
        <v>111670.24637296377</v>
      </c>
      <c r="AC36" s="12">
        <f t="shared" si="1"/>
        <v>1361394.2463729638</v>
      </c>
      <c r="AD36" s="12">
        <v>465</v>
      </c>
      <c r="AE36" s="12">
        <v>775</v>
      </c>
      <c r="AF36" s="12">
        <v>606</v>
      </c>
      <c r="AG36" s="12">
        <v>4397</v>
      </c>
      <c r="AH36" s="12">
        <v>1558</v>
      </c>
      <c r="AI36" s="12">
        <f t="shared" si="10"/>
        <v>7195</v>
      </c>
      <c r="AJ36" s="12">
        <f t="shared" si="2"/>
        <v>8732613.7365182601</v>
      </c>
      <c r="AK36" s="12">
        <f t="shared" si="3"/>
        <v>833140</v>
      </c>
      <c r="AL36" s="12">
        <f t="shared" si="11"/>
        <v>0</v>
      </c>
      <c r="AM36" s="10"/>
      <c r="AN36" s="117"/>
      <c r="AO36" s="12"/>
      <c r="AP36" s="10">
        <v>0</v>
      </c>
      <c r="AQ36" s="10">
        <f t="shared" si="4"/>
        <v>0</v>
      </c>
      <c r="AR36" s="10">
        <v>16</v>
      </c>
      <c r="AS36" s="10">
        <f t="shared" si="5"/>
        <v>111360</v>
      </c>
      <c r="AT36" s="10">
        <f t="shared" si="6"/>
        <v>0</v>
      </c>
      <c r="AU36" s="10">
        <f t="shared" si="12"/>
        <v>0</v>
      </c>
      <c r="AV36" s="10">
        <f>'Tulumaks 2021-2024'!J36*0.0188*'Tulumaks 2021-2024'!J$85</f>
        <v>329860.052422843</v>
      </c>
      <c r="AW36" s="10">
        <v>96</v>
      </c>
      <c r="AX36" s="10">
        <f t="shared" si="13"/>
        <v>0</v>
      </c>
      <c r="AY36" s="10">
        <f>SUM('Tulumaks 2021-2024'!H36:I36)</f>
        <v>7967397.25</v>
      </c>
      <c r="AZ36" s="10">
        <v>3779748</v>
      </c>
      <c r="BA36" s="10">
        <f t="shared" si="14"/>
        <v>32990.931142893292</v>
      </c>
      <c r="BB36" s="10"/>
      <c r="BC36" s="10">
        <f t="shared" si="15"/>
        <v>1505745</v>
      </c>
      <c r="BD36" s="10">
        <v>1271756</v>
      </c>
      <c r="BE36" s="10">
        <f t="shared" si="16"/>
        <v>233989</v>
      </c>
      <c r="BF36" s="5"/>
      <c r="BG36" s="5"/>
      <c r="BH36" s="112"/>
      <c r="BI36" s="112"/>
      <c r="BL36" s="56"/>
      <c r="BM36" s="56"/>
    </row>
    <row r="37" spans="1:65" ht="15" x14ac:dyDescent="0.25">
      <c r="A37" s="20" t="s">
        <v>47</v>
      </c>
      <c r="B37" s="21" t="s">
        <v>121</v>
      </c>
      <c r="C37" s="21" t="s">
        <v>46</v>
      </c>
      <c r="D37" s="10">
        <f>'Tulumaks 2021-2024'!D37*0.025*'Tulumaks 2021-2024'!D$85</f>
        <v>19476.102054959178</v>
      </c>
      <c r="E37" s="10">
        <f>'Tulumaks 2021-2024'!E37*0.025*'Tulumaks 2021-2024'!E$85</f>
        <v>21404.916041551394</v>
      </c>
      <c r="F37" s="10">
        <f>'Tulumaks 2021-2024'!F37*0.025*'Tulumaks 2021-2024'!F$85</f>
        <v>25352.213452623033</v>
      </c>
      <c r="G37" s="10">
        <v>488476.1939799331</v>
      </c>
      <c r="H37" s="10">
        <v>584661.91973244143</v>
      </c>
      <c r="I37" s="10">
        <f>'Tulumaks 2021-2024'!O37/11.96*11.89</f>
        <v>645363.55100334447</v>
      </c>
      <c r="J37" s="10">
        <v>58062.631025000024</v>
      </c>
      <c r="K37" s="4">
        <f t="shared" si="7"/>
        <v>676831.02319216006</v>
      </c>
      <c r="L37" s="10">
        <v>9</v>
      </c>
      <c r="M37" s="10">
        <v>30</v>
      </c>
      <c r="N37" s="10">
        <v>22</v>
      </c>
      <c r="O37" s="10">
        <v>311</v>
      </c>
      <c r="P37" s="10">
        <v>104</v>
      </c>
      <c r="Q37" s="10">
        <v>97</v>
      </c>
      <c r="R37" s="10">
        <v>7</v>
      </c>
      <c r="S37" s="10">
        <f t="shared" si="8"/>
        <v>454</v>
      </c>
      <c r="T37" s="116">
        <v>1.6</v>
      </c>
      <c r="U37" s="10">
        <v>0</v>
      </c>
      <c r="V37" s="10">
        <v>0</v>
      </c>
      <c r="W37" s="10"/>
      <c r="X37" s="10"/>
      <c r="Y37" s="3">
        <f t="shared" si="9"/>
        <v>407085.92153539136</v>
      </c>
      <c r="Z37" s="10"/>
      <c r="AA37" s="12">
        <f t="shared" si="0"/>
        <v>0</v>
      </c>
      <c r="AB37" s="12">
        <v>0</v>
      </c>
      <c r="AC37" s="12">
        <f t="shared" si="1"/>
        <v>0</v>
      </c>
      <c r="AD37" s="12">
        <v>13</v>
      </c>
      <c r="AE37" s="12">
        <v>23</v>
      </c>
      <c r="AF37" s="12">
        <v>17</v>
      </c>
      <c r="AG37" s="12">
        <v>279</v>
      </c>
      <c r="AH37" s="12">
        <v>89</v>
      </c>
      <c r="AI37" s="12">
        <f t="shared" si="10"/>
        <v>404</v>
      </c>
      <c r="AJ37" s="12">
        <f t="shared" si="2"/>
        <v>373710.43729049992</v>
      </c>
      <c r="AK37" s="12">
        <f t="shared" si="3"/>
        <v>0</v>
      </c>
      <c r="AL37" s="12">
        <f t="shared" si="11"/>
        <v>0</v>
      </c>
      <c r="AM37" s="10">
        <f>S37</f>
        <v>454</v>
      </c>
      <c r="AN37" s="117">
        <f>SUMIF(AK$92:AK$108,C37,AN$92:AN$108)</f>
        <v>9.9</v>
      </c>
      <c r="AO37" s="12">
        <f>ROUND((AM37*M$100+AN37*M$101),0)+SUMIF(AK$92:AK$108,C37,AO$92:AO$108)</f>
        <v>137959.27197772911</v>
      </c>
      <c r="AP37" s="10">
        <v>0</v>
      </c>
      <c r="AQ37" s="10">
        <f t="shared" si="4"/>
        <v>0</v>
      </c>
      <c r="AR37" s="10"/>
      <c r="AS37" s="10">
        <f t="shared" si="5"/>
        <v>0</v>
      </c>
      <c r="AT37" s="10">
        <f t="shared" si="6"/>
        <v>0</v>
      </c>
      <c r="AU37" s="10">
        <f t="shared" si="12"/>
        <v>0</v>
      </c>
      <c r="AV37" s="10">
        <f>'Tulumaks 2021-2024'!J37*0.0188*'Tulumaks 2021-2024'!J$85</f>
        <v>21629.105407317926</v>
      </c>
      <c r="AW37" s="10">
        <v>0</v>
      </c>
      <c r="AX37" s="106">
        <v>0</v>
      </c>
      <c r="AY37" s="10">
        <f>SUM('Tulumaks 2021-2024'!H37:I37)</f>
        <v>523407.99000000005</v>
      </c>
      <c r="AZ37" s="10">
        <v>333606</v>
      </c>
      <c r="BA37" s="10">
        <f t="shared" si="14"/>
        <v>2290.4184925391532</v>
      </c>
      <c r="BB37" s="10"/>
      <c r="BC37" s="10">
        <f t="shared" si="15"/>
        <v>140250</v>
      </c>
      <c r="BD37" s="10">
        <v>125547</v>
      </c>
      <c r="BE37" s="10">
        <f t="shared" si="16"/>
        <v>14703</v>
      </c>
      <c r="BF37" s="5"/>
      <c r="BG37" s="5"/>
      <c r="BH37" s="112"/>
      <c r="BI37" s="112"/>
      <c r="BL37" s="56"/>
      <c r="BM37" s="56"/>
    </row>
    <row r="38" spans="1:65" ht="15" x14ac:dyDescent="0.25">
      <c r="A38" s="20" t="s">
        <v>38</v>
      </c>
      <c r="B38" s="21" t="s">
        <v>120</v>
      </c>
      <c r="C38" s="21" t="s">
        <v>43</v>
      </c>
      <c r="D38" s="10">
        <f>'Tulumaks 2021-2024'!D38*0.025*'Tulumaks 2021-2024'!D$85</f>
        <v>192914.60503603827</v>
      </c>
      <c r="E38" s="10">
        <f>'Tulumaks 2021-2024'!E38*0.025*'Tulumaks 2021-2024'!E$85</f>
        <v>206151.93020004898</v>
      </c>
      <c r="F38" s="10">
        <f>'Tulumaks 2021-2024'!F38*0.025*'Tulumaks 2021-2024'!F$85</f>
        <v>241698.28636006682</v>
      </c>
      <c r="G38" s="10">
        <v>4244145.441471572</v>
      </c>
      <c r="H38" s="10">
        <v>4766729.8302675588</v>
      </c>
      <c r="I38" s="10">
        <f>'Tulumaks 2021-2024'!O38/11.96*11.89</f>
        <v>5170770.1237458196</v>
      </c>
      <c r="J38" s="10">
        <v>334976.29129999969</v>
      </c>
      <c r="K38" s="4">
        <f t="shared" si="7"/>
        <v>5420487.0337947467</v>
      </c>
      <c r="L38" s="10">
        <v>263</v>
      </c>
      <c r="M38" s="10">
        <v>466</v>
      </c>
      <c r="N38" s="10">
        <v>349</v>
      </c>
      <c r="O38" s="10">
        <v>2509</v>
      </c>
      <c r="P38" s="10">
        <v>1060</v>
      </c>
      <c r="Q38" s="10">
        <v>919</v>
      </c>
      <c r="R38" s="10">
        <v>141</v>
      </c>
      <c r="S38" s="10">
        <f t="shared" si="8"/>
        <v>4298</v>
      </c>
      <c r="T38" s="116">
        <v>1.97</v>
      </c>
      <c r="U38" s="10">
        <v>14</v>
      </c>
      <c r="V38" s="10">
        <v>1</v>
      </c>
      <c r="W38" s="10"/>
      <c r="X38" s="10"/>
      <c r="Y38" s="3">
        <f t="shared" si="9"/>
        <v>5066553.2201005705</v>
      </c>
      <c r="Z38" s="10"/>
      <c r="AA38" s="12">
        <f t="shared" si="0"/>
        <v>0</v>
      </c>
      <c r="AB38" s="12">
        <v>113652.05687707102</v>
      </c>
      <c r="AC38" s="12">
        <f t="shared" si="1"/>
        <v>113652.05687707102</v>
      </c>
      <c r="AD38" s="12">
        <v>255</v>
      </c>
      <c r="AE38" s="12">
        <v>453</v>
      </c>
      <c r="AF38" s="12">
        <v>336</v>
      </c>
      <c r="AG38" s="12">
        <v>2682</v>
      </c>
      <c r="AH38" s="12">
        <v>993</v>
      </c>
      <c r="AI38" s="12">
        <f t="shared" si="10"/>
        <v>4383</v>
      </c>
      <c r="AJ38" s="12">
        <f t="shared" si="2"/>
        <v>5037154.5101584159</v>
      </c>
      <c r="AK38" s="12">
        <f t="shared" si="3"/>
        <v>0</v>
      </c>
      <c r="AL38" s="12">
        <f t="shared" si="11"/>
        <v>0</v>
      </c>
      <c r="AM38" s="7"/>
      <c r="AN38" s="117"/>
      <c r="AO38" s="7"/>
      <c r="AP38" s="10">
        <v>0</v>
      </c>
      <c r="AQ38" s="10">
        <f t="shared" si="4"/>
        <v>0</v>
      </c>
      <c r="AR38" s="10"/>
      <c r="AS38" s="10">
        <f t="shared" si="5"/>
        <v>0</v>
      </c>
      <c r="AT38" s="10">
        <f t="shared" si="6"/>
        <v>0</v>
      </c>
      <c r="AU38" s="10">
        <f t="shared" si="12"/>
        <v>0</v>
      </c>
      <c r="AV38" s="10">
        <f>'Tulumaks 2021-2024'!J38*0.0188*'Tulumaks 2021-2024'!J$85</f>
        <v>206203.60120505063</v>
      </c>
      <c r="AW38" s="10">
        <v>40</v>
      </c>
      <c r="AX38" s="10">
        <f t="shared" si="13"/>
        <v>0</v>
      </c>
      <c r="AY38" s="10">
        <f>SUM('Tulumaks 2021-2024'!H38:I38)</f>
        <v>4998930.28</v>
      </c>
      <c r="AZ38" s="10">
        <v>2612434</v>
      </c>
      <c r="BA38" s="10">
        <f t="shared" si="14"/>
        <v>21047.035905642158</v>
      </c>
      <c r="BB38" s="10"/>
      <c r="BC38" s="10">
        <f t="shared" si="15"/>
        <v>134699</v>
      </c>
      <c r="BD38" s="10">
        <v>113652</v>
      </c>
      <c r="BE38" s="10">
        <f t="shared" si="16"/>
        <v>21047</v>
      </c>
      <c r="BF38" s="5"/>
      <c r="BG38" s="5"/>
      <c r="BH38" s="112"/>
      <c r="BI38" s="112"/>
      <c r="BL38" s="56"/>
      <c r="BM38" s="56"/>
    </row>
    <row r="39" spans="1:65" ht="15" x14ac:dyDescent="0.25">
      <c r="A39" s="20" t="s">
        <v>38</v>
      </c>
      <c r="B39" s="21" t="s">
        <v>119</v>
      </c>
      <c r="C39" s="21" t="s">
        <v>40</v>
      </c>
      <c r="D39" s="10">
        <f>'Tulumaks 2021-2024'!D39*0.025*'Tulumaks 2021-2024'!D$85</f>
        <v>178973.58527418028</v>
      </c>
      <c r="E39" s="10">
        <f>'Tulumaks 2021-2024'!E39*0.025*'Tulumaks 2021-2024'!E$85</f>
        <v>192878.56089208796</v>
      </c>
      <c r="F39" s="10">
        <f>'Tulumaks 2021-2024'!F39*0.025*'Tulumaks 2021-2024'!F$85</f>
        <v>225733.67530532664</v>
      </c>
      <c r="G39" s="10">
        <v>4396716.211538461</v>
      </c>
      <c r="H39" s="10">
        <v>4937964.7190635446</v>
      </c>
      <c r="I39" s="10">
        <f>'Tulumaks 2021-2024'!O39/11.96*11.89</f>
        <v>5421963.2742474917</v>
      </c>
      <c r="J39" s="10">
        <v>164983.8274749995</v>
      </c>
      <c r="K39" s="4">
        <f t="shared" si="7"/>
        <v>5443223.2456006268</v>
      </c>
      <c r="L39" s="10">
        <v>329</v>
      </c>
      <c r="M39" s="10">
        <v>698</v>
      </c>
      <c r="N39" s="10">
        <v>490</v>
      </c>
      <c r="O39" s="10">
        <v>2749</v>
      </c>
      <c r="P39" s="10">
        <v>957</v>
      </c>
      <c r="Q39" s="10">
        <v>856</v>
      </c>
      <c r="R39" s="10">
        <v>101</v>
      </c>
      <c r="S39" s="10">
        <f t="shared" si="8"/>
        <v>4733</v>
      </c>
      <c r="T39" s="116">
        <v>1.54</v>
      </c>
      <c r="U39" s="10">
        <v>104</v>
      </c>
      <c r="V39" s="10">
        <v>3</v>
      </c>
      <c r="W39" s="10">
        <v>1</v>
      </c>
      <c r="X39" s="10">
        <v>0</v>
      </c>
      <c r="Y39" s="3">
        <f t="shared" si="9"/>
        <v>5873619.6927564163</v>
      </c>
      <c r="Z39" s="10"/>
      <c r="AA39" s="12">
        <f t="shared" si="0"/>
        <v>387357</v>
      </c>
      <c r="AB39" s="12">
        <v>0</v>
      </c>
      <c r="AC39" s="12">
        <f t="shared" si="1"/>
        <v>387357</v>
      </c>
      <c r="AD39" s="12">
        <v>334</v>
      </c>
      <c r="AE39" s="12">
        <v>702</v>
      </c>
      <c r="AF39" s="12">
        <v>536</v>
      </c>
      <c r="AG39" s="12">
        <v>2986</v>
      </c>
      <c r="AH39" s="12">
        <v>885</v>
      </c>
      <c r="AI39" s="12">
        <f t="shared" si="10"/>
        <v>4907</v>
      </c>
      <c r="AJ39" s="12">
        <f t="shared" si="2"/>
        <v>6087078.9989618259</v>
      </c>
      <c r="AK39" s="12">
        <f t="shared" si="3"/>
        <v>579470</v>
      </c>
      <c r="AL39" s="12">
        <f t="shared" si="11"/>
        <v>38422.6</v>
      </c>
      <c r="AM39" s="7"/>
      <c r="AN39" s="117"/>
      <c r="AO39" s="7"/>
      <c r="AP39" s="10">
        <v>0</v>
      </c>
      <c r="AQ39" s="10">
        <f t="shared" si="4"/>
        <v>0</v>
      </c>
      <c r="AR39" s="10"/>
      <c r="AS39" s="10">
        <f t="shared" si="5"/>
        <v>0</v>
      </c>
      <c r="AT39" s="10">
        <f t="shared" si="6"/>
        <v>0</v>
      </c>
      <c r="AU39" s="10">
        <f t="shared" si="12"/>
        <v>0</v>
      </c>
      <c r="AV39" s="10">
        <f>'Tulumaks 2021-2024'!J39*0.0188*'Tulumaks 2021-2024'!J$85</f>
        <v>192583.47860963742</v>
      </c>
      <c r="AW39" s="10">
        <v>44</v>
      </c>
      <c r="AX39" s="10">
        <f t="shared" si="13"/>
        <v>7528.5213903625845</v>
      </c>
      <c r="AY39" s="10">
        <f>SUM('Tulumaks 2021-2024'!H39:I39)</f>
        <v>4652998.8199999994</v>
      </c>
      <c r="AZ39" s="10">
        <v>2749175</v>
      </c>
      <c r="BA39" s="10">
        <f t="shared" si="14"/>
        <v>20048.868655722876</v>
      </c>
      <c r="BB39" s="10"/>
      <c r="BC39" s="10">
        <f t="shared" si="15"/>
        <v>453357</v>
      </c>
      <c r="BD39" s="10">
        <v>505837</v>
      </c>
      <c r="BE39" s="10">
        <f t="shared" si="16"/>
        <v>-52480</v>
      </c>
      <c r="BF39" s="5"/>
      <c r="BG39" s="5"/>
      <c r="BH39" s="112"/>
      <c r="BI39" s="112"/>
      <c r="BL39" s="56"/>
      <c r="BM39" s="56"/>
    </row>
    <row r="40" spans="1:65" ht="15" x14ac:dyDescent="0.25">
      <c r="A40" s="20" t="s">
        <v>38</v>
      </c>
      <c r="B40" s="21" t="s">
        <v>118</v>
      </c>
      <c r="C40" s="21" t="s">
        <v>44</v>
      </c>
      <c r="D40" s="10">
        <f>'Tulumaks 2021-2024'!D40*0.025*'Tulumaks 2021-2024'!D$85</f>
        <v>212257.32762466872</v>
      </c>
      <c r="E40" s="10">
        <f>'Tulumaks 2021-2024'!E40*0.025*'Tulumaks 2021-2024'!E$85</f>
        <v>228739.49091888018</v>
      </c>
      <c r="F40" s="10">
        <f>'Tulumaks 2021-2024'!F40*0.025*'Tulumaks 2021-2024'!F$85</f>
        <v>266560.49675575423</v>
      </c>
      <c r="G40" s="10">
        <v>4990507.384615384</v>
      </c>
      <c r="H40" s="10">
        <v>5409012.519230769</v>
      </c>
      <c r="I40" s="10">
        <f>'Tulumaks 2021-2024'!O40/11.96*11.89</f>
        <v>6044621.4983277591</v>
      </c>
      <c r="J40" s="10">
        <v>197295.61074772748</v>
      </c>
      <c r="K40" s="4">
        <f t="shared" si="7"/>
        <v>6084765.1537823891</v>
      </c>
      <c r="L40" s="10">
        <v>356</v>
      </c>
      <c r="M40" s="10">
        <v>829</v>
      </c>
      <c r="N40" s="10">
        <v>617</v>
      </c>
      <c r="O40" s="10">
        <v>3290</v>
      </c>
      <c r="P40" s="10">
        <v>1164</v>
      </c>
      <c r="Q40" s="10">
        <v>1011</v>
      </c>
      <c r="R40" s="10">
        <v>153</v>
      </c>
      <c r="S40" s="10">
        <f t="shared" si="8"/>
        <v>5639</v>
      </c>
      <c r="T40" s="116">
        <v>1.63</v>
      </c>
      <c r="U40" s="10">
        <v>19</v>
      </c>
      <c r="V40" s="10">
        <v>3</v>
      </c>
      <c r="W40" s="10">
        <v>4</v>
      </c>
      <c r="X40" s="10">
        <v>1</v>
      </c>
      <c r="Y40" s="3">
        <f t="shared" si="9"/>
        <v>6885223.174034521</v>
      </c>
      <c r="Z40" s="10"/>
      <c r="AA40" s="12">
        <f t="shared" si="0"/>
        <v>720412</v>
      </c>
      <c r="AB40" s="12">
        <v>0</v>
      </c>
      <c r="AC40" s="12">
        <f t="shared" si="1"/>
        <v>720412</v>
      </c>
      <c r="AD40" s="12">
        <v>421</v>
      </c>
      <c r="AE40" s="12">
        <v>742</v>
      </c>
      <c r="AF40" s="12">
        <v>583</v>
      </c>
      <c r="AG40" s="12">
        <v>3422</v>
      </c>
      <c r="AH40" s="12">
        <v>1040</v>
      </c>
      <c r="AI40" s="12">
        <f t="shared" si="10"/>
        <v>5625</v>
      </c>
      <c r="AJ40" s="12">
        <f t="shared" si="2"/>
        <v>6978491.776296244</v>
      </c>
      <c r="AK40" s="12">
        <f t="shared" si="3"/>
        <v>804354</v>
      </c>
      <c r="AL40" s="12">
        <f t="shared" si="11"/>
        <v>16788.400000000001</v>
      </c>
      <c r="AM40" s="7"/>
      <c r="AN40" s="117"/>
      <c r="AO40" s="7"/>
      <c r="AP40" s="10">
        <v>0</v>
      </c>
      <c r="AQ40" s="10">
        <f t="shared" si="4"/>
        <v>0</v>
      </c>
      <c r="AR40" s="10"/>
      <c r="AS40" s="10">
        <f t="shared" si="5"/>
        <v>0</v>
      </c>
      <c r="AT40" s="10">
        <f t="shared" si="6"/>
        <v>0</v>
      </c>
      <c r="AU40" s="10">
        <f t="shared" si="12"/>
        <v>0</v>
      </c>
      <c r="AV40" s="10">
        <f>'Tulumaks 2021-2024'!J40*0.0188*'Tulumaks 2021-2024'!J$85</f>
        <v>227414.66312325964</v>
      </c>
      <c r="AW40" s="10">
        <v>46</v>
      </c>
      <c r="AX40" s="10">
        <f t="shared" si="13"/>
        <v>0</v>
      </c>
      <c r="AY40" s="10">
        <f>SUM('Tulumaks 2021-2024'!H40:I40)</f>
        <v>5495160.8600000003</v>
      </c>
      <c r="AZ40" s="10">
        <v>3089908</v>
      </c>
      <c r="BA40" s="10">
        <f t="shared" si="14"/>
        <v>23451.186721151706</v>
      </c>
      <c r="BB40" s="10"/>
      <c r="BC40" s="10">
        <f t="shared" si="15"/>
        <v>760652</v>
      </c>
      <c r="BD40" s="10">
        <v>724201</v>
      </c>
      <c r="BE40" s="10">
        <f t="shared" si="16"/>
        <v>36451</v>
      </c>
      <c r="BF40" s="5"/>
      <c r="BG40" s="5"/>
      <c r="BH40" s="112"/>
      <c r="BI40" s="112"/>
      <c r="BL40" s="56"/>
      <c r="BM40" s="56"/>
    </row>
    <row r="41" spans="1:65" ht="15" x14ac:dyDescent="0.25">
      <c r="A41" s="20" t="s">
        <v>38</v>
      </c>
      <c r="B41" s="21" t="s">
        <v>37</v>
      </c>
      <c r="C41" s="21" t="s">
        <v>37</v>
      </c>
      <c r="D41" s="10">
        <f>'Tulumaks 2021-2024'!D41*0.025*'Tulumaks 2021-2024'!D$85</f>
        <v>622263.01786595432</v>
      </c>
      <c r="E41" s="10">
        <f>'Tulumaks 2021-2024'!E41*0.025*'Tulumaks 2021-2024'!E$85</f>
        <v>653537.29603734578</v>
      </c>
      <c r="F41" s="10">
        <f>'Tulumaks 2021-2024'!F41*0.025*'Tulumaks 2021-2024'!F$85</f>
        <v>755784.83946983027</v>
      </c>
      <c r="G41" s="10">
        <v>13235771.04180602</v>
      </c>
      <c r="H41" s="10">
        <v>14737938.3319398</v>
      </c>
      <c r="I41" s="10">
        <f>'Tulumaks 2021-2024'!O41/11.96*11.89</f>
        <v>16037099.778428093</v>
      </c>
      <c r="J41" s="10">
        <v>295077.51192499982</v>
      </c>
      <c r="K41" s="4">
        <f t="shared" si="7"/>
        <v>16080569.321201501</v>
      </c>
      <c r="L41" s="10">
        <v>1176</v>
      </c>
      <c r="M41" s="10">
        <v>2241</v>
      </c>
      <c r="N41" s="10">
        <v>1652</v>
      </c>
      <c r="O41" s="10">
        <v>8387</v>
      </c>
      <c r="P41" s="10">
        <v>3287</v>
      </c>
      <c r="Q41" s="10">
        <v>2844</v>
      </c>
      <c r="R41" s="10">
        <v>443</v>
      </c>
      <c r="S41" s="10">
        <f t="shared" si="8"/>
        <v>15091</v>
      </c>
      <c r="T41" s="116">
        <v>1</v>
      </c>
      <c r="U41" s="10">
        <v>44</v>
      </c>
      <c r="V41" s="10">
        <v>2</v>
      </c>
      <c r="W41" s="10">
        <v>15</v>
      </c>
      <c r="X41" s="10">
        <v>0</v>
      </c>
      <c r="Y41" s="3">
        <f t="shared" si="9"/>
        <v>17980758.515113719</v>
      </c>
      <c r="Z41" s="10"/>
      <c r="AA41" s="12">
        <f t="shared" si="0"/>
        <v>1710170</v>
      </c>
      <c r="AB41" s="12">
        <v>0</v>
      </c>
      <c r="AC41" s="12">
        <f t="shared" si="1"/>
        <v>1710170</v>
      </c>
      <c r="AD41" s="12">
        <v>1156</v>
      </c>
      <c r="AE41" s="12">
        <v>2135</v>
      </c>
      <c r="AF41" s="12">
        <v>1624</v>
      </c>
      <c r="AG41" s="12">
        <v>8927</v>
      </c>
      <c r="AH41" s="12">
        <v>3153</v>
      </c>
      <c r="AI41" s="12">
        <f t="shared" si="10"/>
        <v>15371</v>
      </c>
      <c r="AJ41" s="12">
        <f t="shared" si="2"/>
        <v>18001795.621361464</v>
      </c>
      <c r="AK41" s="12">
        <f t="shared" si="3"/>
        <v>1729104</v>
      </c>
      <c r="AL41" s="12">
        <f t="shared" si="11"/>
        <v>3786.8</v>
      </c>
      <c r="AM41" s="7"/>
      <c r="AN41" s="117"/>
      <c r="AO41" s="7"/>
      <c r="AP41" s="10">
        <v>0</v>
      </c>
      <c r="AQ41" s="10">
        <f t="shared" si="4"/>
        <v>0</v>
      </c>
      <c r="AR41" s="10"/>
      <c r="AS41" s="10">
        <f t="shared" si="5"/>
        <v>0</v>
      </c>
      <c r="AT41" s="10">
        <f t="shared" si="6"/>
        <v>0</v>
      </c>
      <c r="AU41" s="10">
        <f t="shared" si="12"/>
        <v>0</v>
      </c>
      <c r="AV41" s="10">
        <f>'Tulumaks 2021-2024'!J41*0.0188*'Tulumaks 2021-2024'!J$85</f>
        <v>644793.79635605367</v>
      </c>
      <c r="AW41" s="10">
        <v>137</v>
      </c>
      <c r="AX41" s="10">
        <f t="shared" si="13"/>
        <v>0</v>
      </c>
      <c r="AY41" s="10">
        <f>SUM('Tulumaks 2021-2024'!H41:I41)</f>
        <v>15546529.580000002</v>
      </c>
      <c r="AZ41" s="10">
        <v>8319707</v>
      </c>
      <c r="BA41" s="10">
        <f t="shared" si="14"/>
        <v>65737.299835759695</v>
      </c>
      <c r="BB41" s="10"/>
      <c r="BC41" s="10">
        <f t="shared" si="15"/>
        <v>1779694</v>
      </c>
      <c r="BD41" s="10">
        <v>1429380</v>
      </c>
      <c r="BE41" s="10">
        <f t="shared" si="16"/>
        <v>350314</v>
      </c>
      <c r="BF41" s="5"/>
      <c r="BG41" s="5"/>
      <c r="BH41" s="112"/>
      <c r="BI41" s="112"/>
      <c r="BL41" s="56"/>
      <c r="BM41" s="56"/>
    </row>
    <row r="42" spans="1:65" ht="15" x14ac:dyDescent="0.25">
      <c r="A42" s="20" t="s">
        <v>38</v>
      </c>
      <c r="B42" s="21" t="s">
        <v>117</v>
      </c>
      <c r="C42" s="21" t="s">
        <v>41</v>
      </c>
      <c r="D42" s="10">
        <f>'Tulumaks 2021-2024'!D42*0.025*'Tulumaks 2021-2024'!D$85</f>
        <v>480436.90918010112</v>
      </c>
      <c r="E42" s="10">
        <f>'Tulumaks 2021-2024'!E42*0.025*'Tulumaks 2021-2024'!E$85</f>
        <v>514541.97512230114</v>
      </c>
      <c r="F42" s="10">
        <f>'Tulumaks 2021-2024'!F42*0.025*'Tulumaks 2021-2024'!F$85</f>
        <v>595170.45250775455</v>
      </c>
      <c r="G42" s="10">
        <v>8216944.3812709022</v>
      </c>
      <c r="H42" s="10">
        <v>9012667.7190635446</v>
      </c>
      <c r="I42" s="10">
        <f>'Tulumaks 2021-2024'!O42/11.96*11.89</f>
        <v>9789052.9063545149</v>
      </c>
      <c r="J42" s="10">
        <v>317522.2346500007</v>
      </c>
      <c r="K42" s="4">
        <f t="shared" si="7"/>
        <v>10107273.08042709</v>
      </c>
      <c r="L42" s="10">
        <v>707</v>
      </c>
      <c r="M42" s="10">
        <v>1372</v>
      </c>
      <c r="N42" s="10">
        <v>1020</v>
      </c>
      <c r="O42" s="10">
        <v>5825</v>
      </c>
      <c r="P42" s="10">
        <v>2655</v>
      </c>
      <c r="Q42" s="10">
        <v>2262</v>
      </c>
      <c r="R42" s="10">
        <v>393</v>
      </c>
      <c r="S42" s="10">
        <f t="shared" si="8"/>
        <v>10559</v>
      </c>
      <c r="T42" s="116">
        <v>1.31</v>
      </c>
      <c r="U42" s="10">
        <v>158</v>
      </c>
      <c r="V42" s="10">
        <v>12</v>
      </c>
      <c r="W42" s="10">
        <v>29</v>
      </c>
      <c r="X42" s="10">
        <v>0</v>
      </c>
      <c r="Y42" s="3">
        <f t="shared" si="9"/>
        <v>13241151.226869632</v>
      </c>
      <c r="Z42" s="10"/>
      <c r="AA42" s="12">
        <f t="shared" si="0"/>
        <v>2820490</v>
      </c>
      <c r="AB42" s="12">
        <v>0</v>
      </c>
      <c r="AC42" s="12">
        <f t="shared" si="1"/>
        <v>2820490</v>
      </c>
      <c r="AD42" s="12">
        <v>738</v>
      </c>
      <c r="AE42" s="12">
        <v>1420</v>
      </c>
      <c r="AF42" s="12">
        <v>1042</v>
      </c>
      <c r="AG42" s="12">
        <v>6407</v>
      </c>
      <c r="AH42" s="12">
        <v>2517</v>
      </c>
      <c r="AI42" s="12">
        <f t="shared" si="10"/>
        <v>11082</v>
      </c>
      <c r="AJ42" s="12">
        <f t="shared" si="2"/>
        <v>13679599.483282765</v>
      </c>
      <c r="AK42" s="12">
        <f t="shared" si="3"/>
        <v>3215094</v>
      </c>
      <c r="AL42" s="12">
        <f t="shared" si="11"/>
        <v>78920.800000000003</v>
      </c>
      <c r="AM42" s="7"/>
      <c r="AN42" s="117"/>
      <c r="AO42" s="7"/>
      <c r="AP42" s="10">
        <v>0</v>
      </c>
      <c r="AQ42" s="10">
        <f t="shared" si="4"/>
        <v>0</v>
      </c>
      <c r="AR42" s="10"/>
      <c r="AS42" s="10">
        <f t="shared" si="5"/>
        <v>0</v>
      </c>
      <c r="AT42" s="10">
        <f t="shared" si="6"/>
        <v>0</v>
      </c>
      <c r="AU42" s="10">
        <f t="shared" si="12"/>
        <v>0</v>
      </c>
      <c r="AV42" s="10">
        <f>'Tulumaks 2021-2024'!J42*0.0188*'Tulumaks 2021-2024'!J$85</f>
        <v>507766.49055388285</v>
      </c>
      <c r="AW42" s="10">
        <v>145</v>
      </c>
      <c r="AX42" s="10">
        <f t="shared" si="13"/>
        <v>151693.50944611715</v>
      </c>
      <c r="AY42" s="10">
        <f>SUM('Tulumaks 2021-2024'!H42:I42)</f>
        <v>12253187.02</v>
      </c>
      <c r="AZ42" s="10">
        <v>5112021</v>
      </c>
      <c r="BA42" s="10">
        <f t="shared" si="14"/>
        <v>49725.58780934121</v>
      </c>
      <c r="BB42" s="10"/>
      <c r="BC42" s="10">
        <f t="shared" si="15"/>
        <v>3100830</v>
      </c>
      <c r="BD42" s="10">
        <v>2110280</v>
      </c>
      <c r="BE42" s="10">
        <f t="shared" si="16"/>
        <v>990550</v>
      </c>
      <c r="BF42" s="5"/>
      <c r="BG42" s="5"/>
      <c r="BH42" s="112"/>
      <c r="BI42" s="112"/>
      <c r="BL42" s="56"/>
      <c r="BM42" s="56"/>
    </row>
    <row r="43" spans="1:65" ht="15" x14ac:dyDescent="0.25">
      <c r="A43" s="20" t="s">
        <v>38</v>
      </c>
      <c r="B43" s="21" t="s">
        <v>116</v>
      </c>
      <c r="C43" s="21" t="s">
        <v>45</v>
      </c>
      <c r="D43" s="10">
        <f>'Tulumaks 2021-2024'!D43*0.025*'Tulumaks 2021-2024'!D$85</f>
        <v>270343.77309856651</v>
      </c>
      <c r="E43" s="10">
        <f>'Tulumaks 2021-2024'!E43*0.025*'Tulumaks 2021-2024'!E$85</f>
        <v>282007.56160819199</v>
      </c>
      <c r="F43" s="10">
        <f>'Tulumaks 2021-2024'!F43*0.025*'Tulumaks 2021-2024'!F$85</f>
        <v>329019.24947484786</v>
      </c>
      <c r="G43" s="10">
        <v>5346528.3821070231</v>
      </c>
      <c r="H43" s="10">
        <v>5861323.6279264214</v>
      </c>
      <c r="I43" s="10">
        <f>'Tulumaks 2021-2024'!O43/11.96*11.89</f>
        <v>6538863.7458193982</v>
      </c>
      <c r="J43" s="10">
        <v>500149.22645000101</v>
      </c>
      <c r="K43" s="4">
        <f t="shared" si="7"/>
        <v>6900464.5119986264</v>
      </c>
      <c r="L43" s="10">
        <v>495</v>
      </c>
      <c r="M43" s="10">
        <v>913</v>
      </c>
      <c r="N43" s="10">
        <v>688</v>
      </c>
      <c r="O43" s="10">
        <v>3945</v>
      </c>
      <c r="P43" s="10">
        <v>1438</v>
      </c>
      <c r="Q43" s="10">
        <v>1244</v>
      </c>
      <c r="R43" s="10">
        <v>194</v>
      </c>
      <c r="S43" s="10">
        <f t="shared" si="8"/>
        <v>6791</v>
      </c>
      <c r="T43" s="116">
        <v>1.97</v>
      </c>
      <c r="U43" s="10">
        <v>61</v>
      </c>
      <c r="V43" s="10">
        <v>21</v>
      </c>
      <c r="W43" s="10">
        <v>5</v>
      </c>
      <c r="X43" s="10">
        <v>0</v>
      </c>
      <c r="Y43" s="3">
        <f t="shared" si="9"/>
        <v>8803383.3204949107</v>
      </c>
      <c r="Z43" s="10"/>
      <c r="AA43" s="12">
        <f t="shared" si="0"/>
        <v>1712627</v>
      </c>
      <c r="AB43" s="12">
        <v>0</v>
      </c>
      <c r="AC43" s="12">
        <f t="shared" si="1"/>
        <v>1712627</v>
      </c>
      <c r="AD43" s="12">
        <v>481</v>
      </c>
      <c r="AE43" s="12">
        <v>812</v>
      </c>
      <c r="AF43" s="12">
        <v>611</v>
      </c>
      <c r="AG43" s="12">
        <v>4282</v>
      </c>
      <c r="AH43" s="12">
        <v>1370</v>
      </c>
      <c r="AI43" s="12">
        <f t="shared" si="10"/>
        <v>6945</v>
      </c>
      <c r="AJ43" s="12">
        <f t="shared" si="2"/>
        <v>8609144.7721535303</v>
      </c>
      <c r="AK43" s="12">
        <f t="shared" si="3"/>
        <v>1537812</v>
      </c>
      <c r="AL43" s="12">
        <f t="shared" si="11"/>
        <v>0</v>
      </c>
      <c r="AM43" s="7"/>
      <c r="AN43" s="117"/>
      <c r="AO43" s="7"/>
      <c r="AP43" s="10">
        <v>0</v>
      </c>
      <c r="AQ43" s="10">
        <f t="shared" si="4"/>
        <v>0</v>
      </c>
      <c r="AR43" s="10"/>
      <c r="AS43" s="10">
        <f t="shared" si="5"/>
        <v>0</v>
      </c>
      <c r="AT43" s="10">
        <f t="shared" si="6"/>
        <v>0</v>
      </c>
      <c r="AU43" s="10">
        <f t="shared" si="12"/>
        <v>0</v>
      </c>
      <c r="AV43" s="10">
        <f>'Tulumaks 2021-2024'!J43*0.0188*'Tulumaks 2021-2024'!J$85</f>
        <v>280701.01418272144</v>
      </c>
      <c r="AW43" s="10">
        <v>73</v>
      </c>
      <c r="AX43" s="10">
        <f t="shared" si="13"/>
        <v>51302.985817278561</v>
      </c>
      <c r="AY43" s="10">
        <f>SUM('Tulumaks 2021-2024'!H43:I43)</f>
        <v>6805147.4699999997</v>
      </c>
      <c r="AZ43" s="10">
        <v>3378716</v>
      </c>
      <c r="BA43" s="10">
        <f t="shared" si="14"/>
        <v>28395.356457335074</v>
      </c>
      <c r="BB43" s="10"/>
      <c r="BC43" s="10">
        <f t="shared" si="15"/>
        <v>1792325</v>
      </c>
      <c r="BD43" s="10">
        <v>1464355</v>
      </c>
      <c r="BE43" s="10">
        <f t="shared" si="16"/>
        <v>327970</v>
      </c>
      <c r="BF43" s="5"/>
      <c r="BG43" s="5"/>
      <c r="BH43" s="112"/>
      <c r="BI43" s="112"/>
      <c r="BL43" s="56"/>
      <c r="BM43" s="56"/>
    </row>
    <row r="44" spans="1:65" ht="15" x14ac:dyDescent="0.25">
      <c r="A44" s="20" t="s">
        <v>38</v>
      </c>
      <c r="B44" s="21" t="s">
        <v>115</v>
      </c>
      <c r="C44" s="21" t="s">
        <v>39</v>
      </c>
      <c r="D44" s="10">
        <f>'Tulumaks 2021-2024'!D44*0.025*'Tulumaks 2021-2024'!D$85</f>
        <v>280062.22282696742</v>
      </c>
      <c r="E44" s="10">
        <f>'Tulumaks 2021-2024'!E44*0.025*'Tulumaks 2021-2024'!E$85</f>
        <v>294579.1578122662</v>
      </c>
      <c r="F44" s="10">
        <f>'Tulumaks 2021-2024'!F44*0.025*'Tulumaks 2021-2024'!F$85</f>
        <v>339414.23270356772</v>
      </c>
      <c r="G44" s="10">
        <v>4423408.0685618725</v>
      </c>
      <c r="H44" s="10">
        <v>4724383.1379598668</v>
      </c>
      <c r="I44" s="10">
        <f>'Tulumaks 2021-2024'!O44/11.96*11.89</f>
        <v>5100507.7792642135</v>
      </c>
      <c r="J44" s="10">
        <v>212928.14522500048</v>
      </c>
      <c r="K44" s="4">
        <f t="shared" si="7"/>
        <v>5379271.8982182993</v>
      </c>
      <c r="L44" s="10">
        <v>298</v>
      </c>
      <c r="M44" s="10">
        <v>675</v>
      </c>
      <c r="N44" s="10">
        <v>498</v>
      </c>
      <c r="O44" s="10">
        <v>3151</v>
      </c>
      <c r="P44" s="10">
        <v>1507</v>
      </c>
      <c r="Q44" s="10">
        <v>1264</v>
      </c>
      <c r="R44" s="10">
        <v>243</v>
      </c>
      <c r="S44" s="10">
        <f t="shared" si="8"/>
        <v>5631</v>
      </c>
      <c r="T44" s="116">
        <v>1.65</v>
      </c>
      <c r="U44" s="10">
        <v>42</v>
      </c>
      <c r="V44" s="10">
        <v>2</v>
      </c>
      <c r="W44" s="10">
        <v>7</v>
      </c>
      <c r="X44" s="10">
        <v>0</v>
      </c>
      <c r="Y44" s="3">
        <f t="shared" si="9"/>
        <v>6691267.8390997564</v>
      </c>
      <c r="Z44" s="10"/>
      <c r="AA44" s="12">
        <f t="shared" si="0"/>
        <v>1180796</v>
      </c>
      <c r="AB44" s="12">
        <v>0</v>
      </c>
      <c r="AC44" s="12">
        <f t="shared" si="1"/>
        <v>1180796</v>
      </c>
      <c r="AD44" s="12">
        <v>340</v>
      </c>
      <c r="AE44" s="12">
        <v>705</v>
      </c>
      <c r="AF44" s="12">
        <v>511</v>
      </c>
      <c r="AG44" s="12">
        <v>3428</v>
      </c>
      <c r="AH44" s="12">
        <v>1450</v>
      </c>
      <c r="AI44" s="12">
        <f t="shared" si="10"/>
        <v>5923</v>
      </c>
      <c r="AJ44" s="12">
        <f t="shared" si="2"/>
        <v>7031568.1910085604</v>
      </c>
      <c r="AK44" s="12">
        <f t="shared" si="3"/>
        <v>1487067</v>
      </c>
      <c r="AL44" s="12">
        <f t="shared" si="11"/>
        <v>61254.200000000004</v>
      </c>
      <c r="AM44" s="7"/>
      <c r="AN44" s="117"/>
      <c r="AO44" s="7"/>
      <c r="AP44" s="10">
        <v>354</v>
      </c>
      <c r="AQ44" s="10">
        <f t="shared" si="4"/>
        <v>253</v>
      </c>
      <c r="AR44" s="10"/>
      <c r="AS44" s="10">
        <f t="shared" si="5"/>
        <v>0</v>
      </c>
      <c r="AT44" s="10">
        <f t="shared" si="6"/>
        <v>0</v>
      </c>
      <c r="AU44" s="10">
        <f t="shared" si="12"/>
        <v>0</v>
      </c>
      <c r="AV44" s="10">
        <f>'Tulumaks 2021-2024'!J44*0.0188*'Tulumaks 2021-2024'!J$85</f>
        <v>289569.438566314</v>
      </c>
      <c r="AW44" s="10">
        <v>67</v>
      </c>
      <c r="AX44" s="10">
        <f t="shared" si="13"/>
        <v>15146.561433686002</v>
      </c>
      <c r="AY44" s="10">
        <f>SUM('Tulumaks 2021-2024'!H44:I44)</f>
        <v>6975636.5999999996</v>
      </c>
      <c r="AZ44" s="10">
        <v>2617237</v>
      </c>
      <c r="BA44" s="10">
        <f t="shared" si="14"/>
        <v>27885.45655150777</v>
      </c>
      <c r="BB44" s="10"/>
      <c r="BC44" s="10">
        <f t="shared" si="15"/>
        <v>1285335</v>
      </c>
      <c r="BD44" s="10">
        <v>963305</v>
      </c>
      <c r="BE44" s="10">
        <f t="shared" si="16"/>
        <v>322030</v>
      </c>
      <c r="BF44" s="5"/>
      <c r="BG44" s="5"/>
      <c r="BH44" s="112"/>
      <c r="BI44" s="112"/>
      <c r="BL44" s="56"/>
      <c r="BM44" s="56"/>
    </row>
    <row r="45" spans="1:65" ht="15" x14ac:dyDescent="0.25">
      <c r="A45" s="20" t="s">
        <v>38</v>
      </c>
      <c r="B45" s="21" t="s">
        <v>114</v>
      </c>
      <c r="C45" s="21" t="s">
        <v>42</v>
      </c>
      <c r="D45" s="10">
        <f>'Tulumaks 2021-2024'!D45*0.025*'Tulumaks 2021-2024'!D$85</f>
        <v>251206.43637142322</v>
      </c>
      <c r="E45" s="10">
        <f>'Tulumaks 2021-2024'!E45*0.025*'Tulumaks 2021-2024'!E$85</f>
        <v>264397.47185452573</v>
      </c>
      <c r="F45" s="10">
        <f>'Tulumaks 2021-2024'!F45*0.025*'Tulumaks 2021-2024'!F$85</f>
        <v>303006.65020588366</v>
      </c>
      <c r="G45" s="10">
        <v>4551766.384615384</v>
      </c>
      <c r="H45" s="10">
        <v>4891075.768394649</v>
      </c>
      <c r="I45" s="10">
        <f>'Tulumaks 2021-2024'!O45/11.96*11.89</f>
        <v>5274223.0652173916</v>
      </c>
      <c r="J45" s="10">
        <v>387181.91797499987</v>
      </c>
      <c r="K45" s="4">
        <f t="shared" si="7"/>
        <v>5683033.3119587516</v>
      </c>
      <c r="L45" s="10">
        <v>388</v>
      </c>
      <c r="M45" s="10">
        <v>739</v>
      </c>
      <c r="N45" s="10">
        <v>564</v>
      </c>
      <c r="O45" s="10">
        <v>3105</v>
      </c>
      <c r="P45" s="10">
        <v>1354</v>
      </c>
      <c r="Q45" s="10">
        <v>1174</v>
      </c>
      <c r="R45" s="10">
        <v>180</v>
      </c>
      <c r="S45" s="10">
        <f t="shared" si="8"/>
        <v>5586</v>
      </c>
      <c r="T45" s="116">
        <v>1.99</v>
      </c>
      <c r="U45" s="10">
        <v>56</v>
      </c>
      <c r="V45" s="10">
        <v>2</v>
      </c>
      <c r="W45" s="10">
        <v>5</v>
      </c>
      <c r="X45" s="10">
        <v>1</v>
      </c>
      <c r="Y45" s="3">
        <f t="shared" si="9"/>
        <v>7305521.884961403</v>
      </c>
      <c r="Z45" s="10"/>
      <c r="AA45" s="12">
        <f t="shared" si="0"/>
        <v>1460240</v>
      </c>
      <c r="AB45" s="12">
        <v>0</v>
      </c>
      <c r="AC45" s="12">
        <f t="shared" si="1"/>
        <v>1460240</v>
      </c>
      <c r="AD45" s="12">
        <v>413</v>
      </c>
      <c r="AE45" s="12">
        <v>701</v>
      </c>
      <c r="AF45" s="12">
        <v>533</v>
      </c>
      <c r="AG45" s="12">
        <v>3496</v>
      </c>
      <c r="AH45" s="12">
        <v>1338</v>
      </c>
      <c r="AI45" s="12">
        <f t="shared" si="10"/>
        <v>5948</v>
      </c>
      <c r="AJ45" s="12">
        <f t="shared" si="2"/>
        <v>7517663.6667651096</v>
      </c>
      <c r="AK45" s="12">
        <f t="shared" si="3"/>
        <v>1651167</v>
      </c>
      <c r="AL45" s="12">
        <f t="shared" si="11"/>
        <v>38185.4</v>
      </c>
      <c r="AM45" s="7"/>
      <c r="AN45" s="117"/>
      <c r="AO45" s="7"/>
      <c r="AP45" s="10">
        <v>1620</v>
      </c>
      <c r="AQ45" s="10">
        <f t="shared" si="4"/>
        <v>1158</v>
      </c>
      <c r="AR45" s="10">
        <v>6</v>
      </c>
      <c r="AS45" s="10">
        <f t="shared" si="5"/>
        <v>41760</v>
      </c>
      <c r="AT45" s="10">
        <f t="shared" si="6"/>
        <v>0</v>
      </c>
      <c r="AU45" s="10">
        <f t="shared" si="12"/>
        <v>0</v>
      </c>
      <c r="AV45" s="10">
        <f>'Tulumaks 2021-2024'!J45*0.0188*'Tulumaks 2021-2024'!J$85</f>
        <v>258508.50414575124</v>
      </c>
      <c r="AW45" s="10">
        <v>73</v>
      </c>
      <c r="AX45" s="10">
        <f t="shared" si="13"/>
        <v>31735.495854248758</v>
      </c>
      <c r="AY45" s="10">
        <f>SUM('Tulumaks 2021-2024'!H45:I45)</f>
        <v>6234237.6600000001</v>
      </c>
      <c r="AZ45" s="10">
        <v>2714872</v>
      </c>
      <c r="BA45" s="10">
        <f t="shared" si="14"/>
        <v>25464.110362234114</v>
      </c>
      <c r="BB45" s="10"/>
      <c r="BC45" s="10">
        <f t="shared" si="15"/>
        <v>1598543</v>
      </c>
      <c r="BD45" s="10">
        <v>1294846</v>
      </c>
      <c r="BE45" s="10">
        <f t="shared" si="16"/>
        <v>303697</v>
      </c>
      <c r="BF45" s="5"/>
      <c r="BG45" s="5"/>
      <c r="BH45" s="112"/>
      <c r="BI45" s="112"/>
      <c r="BL45" s="56"/>
      <c r="BM45" s="56"/>
    </row>
    <row r="46" spans="1:65" ht="15" x14ac:dyDescent="0.25">
      <c r="A46" s="20" t="s">
        <v>35</v>
      </c>
      <c r="B46" s="21" t="s">
        <v>113</v>
      </c>
      <c r="C46" s="21" t="s">
        <v>36</v>
      </c>
      <c r="D46" s="10">
        <f>'Tulumaks 2021-2024'!D46*0.025*'Tulumaks 2021-2024'!D$85</f>
        <v>200213.61692885822</v>
      </c>
      <c r="E46" s="10">
        <f>'Tulumaks 2021-2024'!E46*0.025*'Tulumaks 2021-2024'!E$85</f>
        <v>210253.20320424793</v>
      </c>
      <c r="F46" s="10">
        <f>'Tulumaks 2021-2024'!F46*0.025*'Tulumaks 2021-2024'!F$85</f>
        <v>245550.12925038714</v>
      </c>
      <c r="G46" s="10">
        <v>4172054.8603678928</v>
      </c>
      <c r="H46" s="10">
        <v>4736242.3193979934</v>
      </c>
      <c r="I46" s="10">
        <f>'Tulumaks 2021-2024'!O46/11.96*11.89</f>
        <v>5110232.5267558526</v>
      </c>
      <c r="J46" s="10">
        <v>280522.03179999941</v>
      </c>
      <c r="K46" s="4">
        <f t="shared" si="7"/>
        <v>5316815.712043141</v>
      </c>
      <c r="L46" s="10">
        <v>323</v>
      </c>
      <c r="M46" s="10">
        <v>570</v>
      </c>
      <c r="N46" s="10">
        <v>441</v>
      </c>
      <c r="O46" s="10">
        <v>2791</v>
      </c>
      <c r="P46" s="10">
        <v>1103</v>
      </c>
      <c r="Q46" s="10">
        <v>944</v>
      </c>
      <c r="R46" s="10">
        <v>159</v>
      </c>
      <c r="S46" s="10">
        <f t="shared" si="8"/>
        <v>4787</v>
      </c>
      <c r="T46" s="116">
        <v>2.09</v>
      </c>
      <c r="U46" s="10">
        <v>56</v>
      </c>
      <c r="V46" s="10">
        <v>12</v>
      </c>
      <c r="W46" s="10">
        <v>2</v>
      </c>
      <c r="X46" s="10">
        <v>0</v>
      </c>
      <c r="Y46" s="3">
        <f t="shared" si="9"/>
        <v>6108773.7554972637</v>
      </c>
      <c r="Z46" s="10"/>
      <c r="AA46" s="12">
        <f t="shared" si="0"/>
        <v>712762</v>
      </c>
      <c r="AB46" s="12">
        <v>0</v>
      </c>
      <c r="AC46" s="12">
        <f t="shared" si="1"/>
        <v>712762</v>
      </c>
      <c r="AD46" s="12">
        <v>289</v>
      </c>
      <c r="AE46" s="12">
        <v>532</v>
      </c>
      <c r="AF46" s="12">
        <v>409</v>
      </c>
      <c r="AG46" s="12">
        <v>2942</v>
      </c>
      <c r="AH46" s="12">
        <v>1076</v>
      </c>
      <c r="AI46" s="12">
        <f t="shared" si="10"/>
        <v>4839</v>
      </c>
      <c r="AJ46" s="12">
        <f t="shared" si="2"/>
        <v>5921194.9355539298</v>
      </c>
      <c r="AK46" s="12">
        <f t="shared" si="3"/>
        <v>543941</v>
      </c>
      <c r="AL46" s="12">
        <f t="shared" si="11"/>
        <v>0</v>
      </c>
      <c r="AM46" s="7"/>
      <c r="AN46" s="117"/>
      <c r="AO46" s="7"/>
      <c r="AP46" s="10">
        <v>0</v>
      </c>
      <c r="AQ46" s="10">
        <f t="shared" si="4"/>
        <v>0</v>
      </c>
      <c r="AR46" s="10">
        <v>7</v>
      </c>
      <c r="AS46" s="10">
        <f t="shared" si="5"/>
        <v>48720</v>
      </c>
      <c r="AT46" s="10">
        <f t="shared" si="6"/>
        <v>0</v>
      </c>
      <c r="AU46" s="10">
        <f t="shared" si="12"/>
        <v>0</v>
      </c>
      <c r="AV46" s="10">
        <f>'Tulumaks 2021-2024'!J46*0.0188*'Tulumaks 2021-2024'!J$85</f>
        <v>209489.78038001122</v>
      </c>
      <c r="AW46" s="10">
        <v>91</v>
      </c>
      <c r="AX46" s="10">
        <f t="shared" si="13"/>
        <v>155658.21961998878</v>
      </c>
      <c r="AY46" s="10">
        <f>SUM('Tulumaks 2021-2024'!H46:I46)</f>
        <v>5029599.1100000003</v>
      </c>
      <c r="AZ46" s="10">
        <v>2626054</v>
      </c>
      <c r="BA46" s="10">
        <f t="shared" si="14"/>
        <v>21172.686185675855</v>
      </c>
      <c r="BB46" s="10"/>
      <c r="BC46" s="10">
        <f t="shared" si="15"/>
        <v>938313</v>
      </c>
      <c r="BD46" s="10">
        <v>629567</v>
      </c>
      <c r="BE46" s="10">
        <f t="shared" si="16"/>
        <v>308746</v>
      </c>
      <c r="BF46" s="5"/>
      <c r="BG46" s="5"/>
      <c r="BH46" s="112"/>
      <c r="BI46" s="112"/>
      <c r="BL46" s="56"/>
      <c r="BM46" s="56"/>
    </row>
    <row r="47" spans="1:65" ht="15" x14ac:dyDescent="0.25">
      <c r="A47" s="20" t="s">
        <v>35</v>
      </c>
      <c r="B47" s="21" t="s">
        <v>112</v>
      </c>
      <c r="C47" s="21" t="s">
        <v>35</v>
      </c>
      <c r="D47" s="10">
        <f>'Tulumaks 2021-2024'!D47*0.025*'Tulumaks 2021-2024'!D$85</f>
        <v>598957.12803108478</v>
      </c>
      <c r="E47" s="10">
        <f>'Tulumaks 2021-2024'!E47*0.025*'Tulumaks 2021-2024'!E$85</f>
        <v>632012.03909170267</v>
      </c>
      <c r="F47" s="10">
        <f>'Tulumaks 2021-2024'!F47*0.025*'Tulumaks 2021-2024'!F$85</f>
        <v>734229.99308321043</v>
      </c>
      <c r="G47" s="10">
        <v>10895342.845317725</v>
      </c>
      <c r="H47" s="10">
        <v>11945301.423913043</v>
      </c>
      <c r="I47" s="10">
        <f>'Tulumaks 2021-2024'!O47/11.96*11.89</f>
        <v>12769214.798494982</v>
      </c>
      <c r="J47" s="10">
        <v>400815.04299999983</v>
      </c>
      <c r="K47" s="4">
        <f t="shared" si="7"/>
        <v>13224591.472360281</v>
      </c>
      <c r="L47" s="10">
        <v>837</v>
      </c>
      <c r="M47" s="10">
        <v>1716</v>
      </c>
      <c r="N47" s="10">
        <v>1275</v>
      </c>
      <c r="O47" s="10">
        <v>7507</v>
      </c>
      <c r="P47" s="10">
        <v>3272</v>
      </c>
      <c r="Q47" s="10">
        <v>2801</v>
      </c>
      <c r="R47" s="10">
        <v>471</v>
      </c>
      <c r="S47" s="10">
        <f t="shared" si="8"/>
        <v>13332</v>
      </c>
      <c r="T47" s="116">
        <v>1.56</v>
      </c>
      <c r="U47" s="10">
        <v>46</v>
      </c>
      <c r="V47" s="10">
        <v>1</v>
      </c>
      <c r="W47" s="10">
        <v>13</v>
      </c>
      <c r="X47" s="10">
        <v>0</v>
      </c>
      <c r="Y47" s="3">
        <f t="shared" si="9"/>
        <v>15997355.457457552</v>
      </c>
      <c r="Z47" s="10"/>
      <c r="AA47" s="12">
        <f t="shared" si="0"/>
        <v>2495488</v>
      </c>
      <c r="AB47" s="12">
        <v>0</v>
      </c>
      <c r="AC47" s="12">
        <f t="shared" si="1"/>
        <v>2495488</v>
      </c>
      <c r="AD47" s="12">
        <v>865</v>
      </c>
      <c r="AE47" s="12">
        <v>1728</v>
      </c>
      <c r="AF47" s="12">
        <v>1359</v>
      </c>
      <c r="AG47" s="12">
        <v>8469</v>
      </c>
      <c r="AH47" s="12">
        <v>3028</v>
      </c>
      <c r="AI47" s="12">
        <f t="shared" si="10"/>
        <v>14090</v>
      </c>
      <c r="AJ47" s="12">
        <f t="shared" si="2"/>
        <v>16695746.812938353</v>
      </c>
      <c r="AK47" s="12">
        <f t="shared" si="3"/>
        <v>3124040</v>
      </c>
      <c r="AL47" s="12">
        <f t="shared" si="11"/>
        <v>125710.40000000001</v>
      </c>
      <c r="AM47" s="7"/>
      <c r="AN47" s="117"/>
      <c r="AO47" s="7"/>
      <c r="AP47" s="10">
        <v>0</v>
      </c>
      <c r="AQ47" s="10">
        <f t="shared" si="4"/>
        <v>0</v>
      </c>
      <c r="AR47" s="10"/>
      <c r="AS47" s="10">
        <f t="shared" si="5"/>
        <v>0</v>
      </c>
      <c r="AT47" s="10">
        <f t="shared" si="6"/>
        <v>0</v>
      </c>
      <c r="AU47" s="10">
        <f t="shared" si="12"/>
        <v>0</v>
      </c>
      <c r="AV47" s="10">
        <f>'Tulumaks 2021-2024'!J47*0.0188*'Tulumaks 2021-2024'!J$85</f>
        <v>626404.39436533675</v>
      </c>
      <c r="AW47" s="10">
        <v>171</v>
      </c>
      <c r="AX47" s="10">
        <f t="shared" si="13"/>
        <v>151303.60563466325</v>
      </c>
      <c r="AY47" s="10">
        <f>SUM('Tulumaks 2021-2024'!H47:I47)</f>
        <v>15146575.890000001</v>
      </c>
      <c r="AZ47" s="10">
        <v>6602454</v>
      </c>
      <c r="BA47" s="10">
        <f t="shared" si="14"/>
        <v>61876.39952464516</v>
      </c>
      <c r="BB47" s="10"/>
      <c r="BC47" s="10">
        <f t="shared" si="15"/>
        <v>2834378</v>
      </c>
      <c r="BD47" s="10">
        <v>1997279</v>
      </c>
      <c r="BE47" s="10">
        <f t="shared" si="16"/>
        <v>837099</v>
      </c>
      <c r="BF47" s="5"/>
      <c r="BG47" s="5"/>
      <c r="BH47" s="112"/>
      <c r="BI47" s="112"/>
      <c r="BL47" s="56"/>
      <c r="BM47" s="56"/>
    </row>
    <row r="48" spans="1:65" ht="15" x14ac:dyDescent="0.25">
      <c r="A48" s="20" t="s">
        <v>35</v>
      </c>
      <c r="B48" s="21" t="s">
        <v>111</v>
      </c>
      <c r="C48" s="21" t="s">
        <v>34</v>
      </c>
      <c r="D48" s="10">
        <f>'Tulumaks 2021-2024'!D48*0.025*'Tulumaks 2021-2024'!D$85</f>
        <v>281391.11047557875</v>
      </c>
      <c r="E48" s="10">
        <f>'Tulumaks 2021-2024'!E48*0.025*'Tulumaks 2021-2024'!E$85</f>
        <v>298109.38630176702</v>
      </c>
      <c r="F48" s="10">
        <f>'Tulumaks 2021-2024'!F48*0.025*'Tulumaks 2021-2024'!F$85</f>
        <v>347343.98780298047</v>
      </c>
      <c r="G48" s="10">
        <v>4740546.9765886283</v>
      </c>
      <c r="H48" s="10">
        <v>5241314.8060200661</v>
      </c>
      <c r="I48" s="10">
        <f>'Tulumaks 2021-2024'!O48/11.96*11.89</f>
        <v>5513273.7023411375</v>
      </c>
      <c r="J48" s="10">
        <v>242324.3102249995</v>
      </c>
      <c r="K48" s="4">
        <f t="shared" si="7"/>
        <v>5838848.0304064499</v>
      </c>
      <c r="L48" s="10">
        <v>316</v>
      </c>
      <c r="M48" s="10">
        <v>667</v>
      </c>
      <c r="N48" s="10">
        <v>487</v>
      </c>
      <c r="O48" s="10">
        <v>3441</v>
      </c>
      <c r="P48" s="10">
        <v>1596</v>
      </c>
      <c r="Q48" s="10">
        <v>1327</v>
      </c>
      <c r="R48" s="10">
        <v>269</v>
      </c>
      <c r="S48" s="10">
        <f t="shared" si="8"/>
        <v>6020</v>
      </c>
      <c r="T48" s="116">
        <v>1.74</v>
      </c>
      <c r="U48" s="10">
        <v>87</v>
      </c>
      <c r="V48" s="10">
        <v>4</v>
      </c>
      <c r="W48" s="10">
        <v>8</v>
      </c>
      <c r="X48" s="10">
        <v>2</v>
      </c>
      <c r="Y48" s="3">
        <f t="shared" si="9"/>
        <v>7233875.8236430725</v>
      </c>
      <c r="Z48" s="10"/>
      <c r="AA48" s="12">
        <f t="shared" si="0"/>
        <v>1255525</v>
      </c>
      <c r="AB48" s="12">
        <v>18891.918083751574</v>
      </c>
      <c r="AC48" s="12">
        <f t="shared" si="1"/>
        <v>1274416.9180837516</v>
      </c>
      <c r="AD48" s="12">
        <v>297</v>
      </c>
      <c r="AE48" s="12">
        <v>694</v>
      </c>
      <c r="AF48" s="12">
        <v>493</v>
      </c>
      <c r="AG48" s="12">
        <v>3944</v>
      </c>
      <c r="AH48" s="12">
        <v>1483</v>
      </c>
      <c r="AI48" s="12">
        <f t="shared" si="10"/>
        <v>6418</v>
      </c>
      <c r="AJ48" s="12">
        <f t="shared" si="2"/>
        <v>7402660.0342247356</v>
      </c>
      <c r="AK48" s="12">
        <f t="shared" si="3"/>
        <v>1407431</v>
      </c>
      <c r="AL48" s="12">
        <f t="shared" si="11"/>
        <v>30381.200000000001</v>
      </c>
      <c r="AM48" s="7"/>
      <c r="AN48" s="117"/>
      <c r="AO48" s="7"/>
      <c r="AP48" s="10">
        <v>0</v>
      </c>
      <c r="AQ48" s="10">
        <f t="shared" si="4"/>
        <v>0</v>
      </c>
      <c r="AR48" s="10"/>
      <c r="AS48" s="10">
        <f t="shared" si="5"/>
        <v>0</v>
      </c>
      <c r="AT48" s="10">
        <f t="shared" si="6"/>
        <v>0</v>
      </c>
      <c r="AU48" s="10">
        <f t="shared" si="12"/>
        <v>0</v>
      </c>
      <c r="AV48" s="10">
        <f>'Tulumaks 2021-2024'!J48*0.0188*'Tulumaks 2021-2024'!J$85</f>
        <v>296334.66674727463</v>
      </c>
      <c r="AW48" s="10">
        <v>101</v>
      </c>
      <c r="AX48" s="10">
        <f t="shared" si="13"/>
        <v>163013.33325272537</v>
      </c>
      <c r="AY48" s="10">
        <f>SUM('Tulumaks 2021-2024'!H48:I48)</f>
        <v>7165634.79</v>
      </c>
      <c r="AZ48" s="10">
        <v>2849362</v>
      </c>
      <c r="BA48" s="10">
        <f t="shared" si="14"/>
        <v>28877.135845219658</v>
      </c>
      <c r="BB48" s="10"/>
      <c r="BC48" s="10">
        <f t="shared" si="15"/>
        <v>1496689</v>
      </c>
      <c r="BD48" s="10">
        <v>959174</v>
      </c>
      <c r="BE48" s="10">
        <f t="shared" si="16"/>
        <v>537515</v>
      </c>
      <c r="BF48" s="5"/>
      <c r="BG48" s="5"/>
      <c r="BH48" s="112"/>
      <c r="BI48" s="112"/>
      <c r="BL48" s="56"/>
      <c r="BM48" s="56"/>
    </row>
    <row r="49" spans="1:65" ht="24.75" x14ac:dyDescent="0.25">
      <c r="A49" s="20" t="s">
        <v>28</v>
      </c>
      <c r="B49" s="21" t="s">
        <v>110</v>
      </c>
      <c r="C49" s="21" t="s">
        <v>32</v>
      </c>
      <c r="D49" s="10">
        <f>'Tulumaks 2021-2024'!D49*0.025*'Tulumaks 2021-2024'!D$85</f>
        <v>188653.00896792015</v>
      </c>
      <c r="E49" s="10">
        <f>'Tulumaks 2021-2024'!E49*0.025*'Tulumaks 2021-2024'!E$85</f>
        <v>201414.54343723823</v>
      </c>
      <c r="F49" s="10">
        <f>'Tulumaks 2021-2024'!F49*0.025*'Tulumaks 2021-2024'!F$85</f>
        <v>236164.12524285773</v>
      </c>
      <c r="G49" s="10">
        <v>3913520.9272575248</v>
      </c>
      <c r="H49" s="10">
        <v>4484013.2675585281</v>
      </c>
      <c r="I49" s="10">
        <f>'Tulumaks 2021-2024'!O49/11.96*11.89</f>
        <v>5019361.5117056854</v>
      </c>
      <c r="J49" s="10">
        <v>222030.43247499975</v>
      </c>
      <c r="K49" s="4">
        <f t="shared" si="7"/>
        <v>5075856.3814930897</v>
      </c>
      <c r="L49" s="10">
        <v>310</v>
      </c>
      <c r="M49" s="10">
        <v>677</v>
      </c>
      <c r="N49" s="10">
        <v>500</v>
      </c>
      <c r="O49" s="10">
        <v>2987</v>
      </c>
      <c r="P49" s="10">
        <v>1046</v>
      </c>
      <c r="Q49" s="10">
        <v>913</v>
      </c>
      <c r="R49" s="10">
        <v>133</v>
      </c>
      <c r="S49" s="10">
        <f t="shared" si="8"/>
        <v>5020</v>
      </c>
      <c r="T49" s="116">
        <v>2</v>
      </c>
      <c r="U49" s="10">
        <v>62</v>
      </c>
      <c r="V49" s="10">
        <v>3</v>
      </c>
      <c r="W49" s="10">
        <v>0</v>
      </c>
      <c r="X49" s="10">
        <v>0</v>
      </c>
      <c r="Y49" s="3">
        <f t="shared" si="9"/>
        <v>6260201.3506827727</v>
      </c>
      <c r="Z49" s="10"/>
      <c r="AA49" s="12">
        <f t="shared" si="0"/>
        <v>1065910</v>
      </c>
      <c r="AB49" s="12">
        <v>0</v>
      </c>
      <c r="AC49" s="12">
        <f t="shared" si="1"/>
        <v>1065910</v>
      </c>
      <c r="AD49" s="12">
        <v>312</v>
      </c>
      <c r="AE49" s="12">
        <v>605</v>
      </c>
      <c r="AF49" s="12">
        <v>435</v>
      </c>
      <c r="AG49" s="12">
        <v>3035</v>
      </c>
      <c r="AH49" s="12">
        <v>989</v>
      </c>
      <c r="AI49" s="12">
        <f t="shared" si="10"/>
        <v>4941</v>
      </c>
      <c r="AJ49" s="12">
        <f t="shared" si="2"/>
        <v>6012256.4183810009</v>
      </c>
      <c r="AK49" s="12">
        <f t="shared" si="3"/>
        <v>842760</v>
      </c>
      <c r="AL49" s="12">
        <f t="shared" si="11"/>
        <v>0</v>
      </c>
      <c r="AM49" s="7"/>
      <c r="AN49" s="117"/>
      <c r="AO49" s="7"/>
      <c r="AP49" s="10">
        <v>0</v>
      </c>
      <c r="AQ49" s="10">
        <f t="shared" si="4"/>
        <v>0</v>
      </c>
      <c r="AR49" s="10"/>
      <c r="AS49" s="10">
        <f t="shared" si="5"/>
        <v>0</v>
      </c>
      <c r="AT49" s="10">
        <f t="shared" si="6"/>
        <v>0</v>
      </c>
      <c r="AU49" s="10">
        <f t="shared" si="12"/>
        <v>0</v>
      </c>
      <c r="AV49" s="10">
        <f>'Tulumaks 2021-2024'!J49*0.0188*'Tulumaks 2021-2024'!J$85</f>
        <v>201482.1612262936</v>
      </c>
      <c r="AW49" s="10">
        <v>57</v>
      </c>
      <c r="AX49" s="10">
        <f t="shared" si="13"/>
        <v>57753.838773706404</v>
      </c>
      <c r="AY49" s="10">
        <f>SUM('Tulumaks 2021-2024'!H49:I49)</f>
        <v>4887867.13</v>
      </c>
      <c r="AZ49" s="10">
        <v>2581462</v>
      </c>
      <c r="BA49" s="10">
        <f t="shared" si="14"/>
        <v>20618.497554646397</v>
      </c>
      <c r="BB49" s="10"/>
      <c r="BC49" s="10">
        <f t="shared" si="15"/>
        <v>1144282</v>
      </c>
      <c r="BD49" s="10">
        <v>1123880</v>
      </c>
      <c r="BE49" s="10">
        <f t="shared" si="16"/>
        <v>20402</v>
      </c>
      <c r="BF49" s="5"/>
      <c r="BG49" s="5"/>
      <c r="BH49" s="112"/>
      <c r="BI49" s="112"/>
      <c r="BL49" s="56"/>
      <c r="BM49" s="56"/>
    </row>
    <row r="50" spans="1:65" ht="15" x14ac:dyDescent="0.25">
      <c r="A50" s="20" t="s">
        <v>28</v>
      </c>
      <c r="B50" s="21" t="s">
        <v>109</v>
      </c>
      <c r="C50" s="21" t="s">
        <v>27</v>
      </c>
      <c r="D50" s="10">
        <f>'Tulumaks 2021-2024'!D50*0.025*'Tulumaks 2021-2024'!D$85</f>
        <v>24780.195529159973</v>
      </c>
      <c r="E50" s="10">
        <f>'Tulumaks 2021-2024'!E50*0.025*'Tulumaks 2021-2024'!E$85</f>
        <v>26102.060843255935</v>
      </c>
      <c r="F50" s="10">
        <f>'Tulumaks 2021-2024'!F50*0.025*'Tulumaks 2021-2024'!F$85</f>
        <v>31012.793966463854</v>
      </c>
      <c r="G50" s="10">
        <v>643017.36371237459</v>
      </c>
      <c r="H50" s="10">
        <v>678211.1672240803</v>
      </c>
      <c r="I50" s="10">
        <f>'Tulumaks 2021-2024'!O50/11.96*11.89</f>
        <v>726892.56521739124</v>
      </c>
      <c r="J50" s="10">
        <v>3470.388825</v>
      </c>
      <c r="K50" s="4">
        <f t="shared" si="7"/>
        <v>727276.54868543544</v>
      </c>
      <c r="L50" s="10">
        <v>33</v>
      </c>
      <c r="M50" s="10">
        <v>60</v>
      </c>
      <c r="N50" s="10">
        <v>47</v>
      </c>
      <c r="O50" s="10">
        <v>461</v>
      </c>
      <c r="P50" s="10">
        <v>132</v>
      </c>
      <c r="Q50" s="10">
        <v>115</v>
      </c>
      <c r="R50" s="10">
        <v>17</v>
      </c>
      <c r="S50" s="10">
        <f t="shared" si="8"/>
        <v>686</v>
      </c>
      <c r="T50" s="116">
        <v>2.1</v>
      </c>
      <c r="U50" s="10">
        <v>4</v>
      </c>
      <c r="V50" s="10"/>
      <c r="W50" s="10"/>
      <c r="X50" s="10"/>
      <c r="Y50" s="3">
        <f t="shared" si="9"/>
        <v>749263.92730575055</v>
      </c>
      <c r="Z50" s="10"/>
      <c r="AA50" s="12">
        <f t="shared" si="0"/>
        <v>19789</v>
      </c>
      <c r="AB50" s="12">
        <v>0</v>
      </c>
      <c r="AC50" s="12">
        <f t="shared" si="1"/>
        <v>19789</v>
      </c>
      <c r="AD50" s="12">
        <v>35</v>
      </c>
      <c r="AE50" s="12">
        <v>55</v>
      </c>
      <c r="AF50" s="12">
        <v>42</v>
      </c>
      <c r="AG50" s="12">
        <v>492</v>
      </c>
      <c r="AH50" s="12">
        <v>124</v>
      </c>
      <c r="AI50" s="12">
        <f t="shared" si="10"/>
        <v>706</v>
      </c>
      <c r="AJ50" s="12">
        <f t="shared" si="2"/>
        <v>750959.22931531537</v>
      </c>
      <c r="AK50" s="12">
        <f t="shared" si="3"/>
        <v>21314</v>
      </c>
      <c r="AL50" s="12">
        <f t="shared" si="11"/>
        <v>305</v>
      </c>
      <c r="AM50" s="10">
        <f>S50</f>
        <v>686</v>
      </c>
      <c r="AN50" s="117">
        <f>SUMIF(AK$92:AK$108,C50,AN$92:AN$108)</f>
        <v>16.899999999999999</v>
      </c>
      <c r="AO50" s="12">
        <f>ROUND((AM50*M$100+AN50*M$101),0)+SUMIF(AK$92:AK$108,C50,AO$92:AO$108)</f>
        <v>201102.27197772911</v>
      </c>
      <c r="AP50" s="10">
        <v>386</v>
      </c>
      <c r="AQ50" s="10">
        <f t="shared" si="4"/>
        <v>276</v>
      </c>
      <c r="AR50" s="10"/>
      <c r="AS50" s="10">
        <f t="shared" si="5"/>
        <v>0</v>
      </c>
      <c r="AT50" s="10">
        <f t="shared" si="6"/>
        <v>0</v>
      </c>
      <c r="AU50" s="10">
        <f t="shared" si="12"/>
        <v>0</v>
      </c>
      <c r="AV50" s="10">
        <f>'Tulumaks 2021-2024'!J50*0.0188*'Tulumaks 2021-2024'!J$85</f>
        <v>26458.399418638495</v>
      </c>
      <c r="AW50" s="10">
        <v>4</v>
      </c>
      <c r="AX50" s="10">
        <f t="shared" si="13"/>
        <v>0</v>
      </c>
      <c r="AY50" s="10">
        <f>SUM('Tulumaks 2021-2024'!H50:I50)</f>
        <v>638828.05999999994</v>
      </c>
      <c r="AZ50" s="10">
        <v>374762</v>
      </c>
      <c r="BA50" s="10">
        <f t="shared" si="14"/>
        <v>2748.7138014730604</v>
      </c>
      <c r="BB50" s="10"/>
      <c r="BC50" s="10">
        <f t="shared" si="15"/>
        <v>224221</v>
      </c>
      <c r="BD50" s="10">
        <v>202939</v>
      </c>
      <c r="BE50" s="10">
        <f t="shared" si="16"/>
        <v>21282</v>
      </c>
      <c r="BF50" s="5"/>
      <c r="BG50" s="5"/>
      <c r="BH50" s="112"/>
      <c r="BI50" s="112"/>
      <c r="BL50" s="56"/>
      <c r="BM50" s="56"/>
    </row>
    <row r="51" spans="1:65" ht="15" x14ac:dyDescent="0.25">
      <c r="A51" s="20" t="s">
        <v>28</v>
      </c>
      <c r="B51" s="21" t="s">
        <v>221</v>
      </c>
      <c r="C51" s="21" t="s">
        <v>49</v>
      </c>
      <c r="D51" s="10">
        <f>'Tulumaks 2021-2024'!D51*0.025*'Tulumaks 2021-2024'!D$85</f>
        <v>245433.58006931085</v>
      </c>
      <c r="E51" s="10">
        <f>'Tulumaks 2021-2024'!E51*0.025*'Tulumaks 2021-2024'!E$85</f>
        <v>261770.04141437248</v>
      </c>
      <c r="F51" s="10">
        <f>'Tulumaks 2021-2024'!F51*0.025*'Tulumaks 2021-2024'!F$85</f>
        <v>302839.77034982492</v>
      </c>
      <c r="G51" s="10">
        <v>3933120.5384615385</v>
      </c>
      <c r="H51" s="10">
        <v>4289496.4464882948</v>
      </c>
      <c r="I51" s="10">
        <f>'Tulumaks 2021-2024'!O51/11.96*11.89</f>
        <v>4800991.1237458196</v>
      </c>
      <c r="J51" s="10">
        <v>401861.88064999931</v>
      </c>
      <c r="K51" s="4">
        <f t="shared" si="7"/>
        <v>5154868.0977747915</v>
      </c>
      <c r="L51" s="10">
        <v>288</v>
      </c>
      <c r="M51" s="10">
        <v>562</v>
      </c>
      <c r="N51" s="10">
        <v>412</v>
      </c>
      <c r="O51" s="10">
        <v>2950</v>
      </c>
      <c r="P51" s="10">
        <v>1367</v>
      </c>
      <c r="Q51" s="10">
        <v>1182</v>
      </c>
      <c r="R51" s="10">
        <v>185</v>
      </c>
      <c r="S51" s="10">
        <f t="shared" si="8"/>
        <v>5167</v>
      </c>
      <c r="T51" s="116">
        <v>1.99</v>
      </c>
      <c r="U51" s="10">
        <v>79</v>
      </c>
      <c r="V51" s="10">
        <v>17</v>
      </c>
      <c r="W51" s="10">
        <v>1</v>
      </c>
      <c r="X51" s="10">
        <v>0</v>
      </c>
      <c r="Y51" s="3">
        <f t="shared" si="9"/>
        <v>6236007.7446967214</v>
      </c>
      <c r="Z51" s="10"/>
      <c r="AA51" s="12">
        <f t="shared" si="0"/>
        <v>973026</v>
      </c>
      <c r="AB51" s="12">
        <v>0</v>
      </c>
      <c r="AC51" s="12">
        <f t="shared" si="1"/>
        <v>973026</v>
      </c>
      <c r="AD51" s="12">
        <v>272</v>
      </c>
      <c r="AE51" s="12">
        <v>570</v>
      </c>
      <c r="AF51" s="12">
        <v>426</v>
      </c>
      <c r="AG51" s="12">
        <v>3254</v>
      </c>
      <c r="AH51" s="12">
        <v>1342</v>
      </c>
      <c r="AI51" s="12">
        <f t="shared" si="10"/>
        <v>5438</v>
      </c>
      <c r="AJ51" s="12">
        <f t="shared" si="2"/>
        <v>6383426.8100083731</v>
      </c>
      <c r="AK51" s="12">
        <f t="shared" si="3"/>
        <v>1105703</v>
      </c>
      <c r="AL51" s="12">
        <f t="shared" si="11"/>
        <v>26535.4</v>
      </c>
      <c r="AM51" s="7"/>
      <c r="AN51" s="117"/>
      <c r="AO51" s="7"/>
      <c r="AP51" s="10">
        <v>1018</v>
      </c>
      <c r="AQ51" s="10">
        <f t="shared" si="4"/>
        <v>728</v>
      </c>
      <c r="AR51" s="10"/>
      <c r="AS51" s="10">
        <f t="shared" si="5"/>
        <v>0</v>
      </c>
      <c r="AT51" s="10">
        <f t="shared" si="6"/>
        <v>0</v>
      </c>
      <c r="AU51" s="10">
        <f t="shared" si="12"/>
        <v>0</v>
      </c>
      <c r="AV51" s="10">
        <f>'Tulumaks 2021-2024'!J51*0.0188*'Tulumaks 2021-2024'!J$85</f>
        <v>258366.13148847624</v>
      </c>
      <c r="AW51" s="10">
        <v>70</v>
      </c>
      <c r="AX51" s="10">
        <f t="shared" si="13"/>
        <v>59993.86851152376</v>
      </c>
      <c r="AY51" s="10">
        <f>SUM('Tulumaks 2021-2024'!H51:I51)</f>
        <v>6224605.0299999993</v>
      </c>
      <c r="AZ51" s="10">
        <v>2452775</v>
      </c>
      <c r="BA51" s="10">
        <f t="shared" si="14"/>
        <v>25052.512402047949</v>
      </c>
      <c r="BB51" s="10"/>
      <c r="BC51" s="10">
        <f t="shared" si="15"/>
        <v>1085336</v>
      </c>
      <c r="BD51" s="10">
        <v>830314</v>
      </c>
      <c r="BE51" s="10">
        <f t="shared" si="16"/>
        <v>255022</v>
      </c>
      <c r="BF51" s="5"/>
      <c r="BG51" s="5"/>
      <c r="BH51" s="112"/>
      <c r="BI51" s="112"/>
      <c r="BL51" s="56"/>
      <c r="BM51" s="56"/>
    </row>
    <row r="52" spans="1:65" ht="24.75" x14ac:dyDescent="0.25">
      <c r="A52" s="20" t="s">
        <v>28</v>
      </c>
      <c r="B52" s="21" t="s">
        <v>222</v>
      </c>
      <c r="C52" s="21" t="s">
        <v>31</v>
      </c>
      <c r="D52" s="10">
        <f>'Tulumaks 2021-2024'!D52*0.025*'Tulumaks 2021-2024'!D$85</f>
        <v>372838.39177455439</v>
      </c>
      <c r="E52" s="10">
        <f>'Tulumaks 2021-2024'!E52*0.025*'Tulumaks 2021-2024'!E$85</f>
        <v>393598.09750425682</v>
      </c>
      <c r="F52" s="10">
        <f>'Tulumaks 2021-2024'!F52*0.025*'Tulumaks 2021-2024'!F$85</f>
        <v>459078.5260794519</v>
      </c>
      <c r="G52" s="10">
        <v>6465076.155518394</v>
      </c>
      <c r="H52" s="10">
        <v>7011706.9757525083</v>
      </c>
      <c r="I52" s="10">
        <f>'Tulumaks 2021-2024'!O52/11.96*11.89</f>
        <v>7819141.3670568569</v>
      </c>
      <c r="J52" s="10">
        <v>365233.79050000024</v>
      </c>
      <c r="K52" s="4">
        <f t="shared" si="7"/>
        <v>8093518.1685037743</v>
      </c>
      <c r="L52" s="10">
        <v>542</v>
      </c>
      <c r="M52" s="10">
        <v>959</v>
      </c>
      <c r="N52" s="10">
        <v>726</v>
      </c>
      <c r="O52" s="10">
        <v>4359</v>
      </c>
      <c r="P52" s="10">
        <v>2019</v>
      </c>
      <c r="Q52" s="10">
        <v>1750</v>
      </c>
      <c r="R52" s="10">
        <v>269</v>
      </c>
      <c r="S52" s="10">
        <f t="shared" si="8"/>
        <v>7879</v>
      </c>
      <c r="T52" s="116">
        <v>1.95</v>
      </c>
      <c r="U52" s="10">
        <v>70</v>
      </c>
      <c r="V52" s="10">
        <v>16</v>
      </c>
      <c r="W52" s="10">
        <v>6</v>
      </c>
      <c r="X52" s="10">
        <v>0</v>
      </c>
      <c r="Y52" s="3">
        <f t="shared" si="9"/>
        <v>10028803.850243678</v>
      </c>
      <c r="Z52" s="10"/>
      <c r="AA52" s="12">
        <f t="shared" si="0"/>
        <v>1741757</v>
      </c>
      <c r="AB52" s="12">
        <v>0</v>
      </c>
      <c r="AC52" s="12">
        <f t="shared" si="1"/>
        <v>1741757</v>
      </c>
      <c r="AD52" s="12">
        <v>517</v>
      </c>
      <c r="AE52" s="12">
        <v>909</v>
      </c>
      <c r="AF52" s="12">
        <v>670</v>
      </c>
      <c r="AG52" s="12">
        <v>5018</v>
      </c>
      <c r="AH52" s="12">
        <v>1937</v>
      </c>
      <c r="AI52" s="12">
        <f t="shared" si="10"/>
        <v>8381</v>
      </c>
      <c r="AJ52" s="12">
        <f t="shared" si="2"/>
        <v>10071629.241240617</v>
      </c>
      <c r="AK52" s="12">
        <f t="shared" si="3"/>
        <v>1780300</v>
      </c>
      <c r="AL52" s="12">
        <f t="shared" si="11"/>
        <v>7708.6</v>
      </c>
      <c r="AM52" s="7"/>
      <c r="AN52" s="117"/>
      <c r="AO52" s="7"/>
      <c r="AP52" s="10">
        <v>966</v>
      </c>
      <c r="AQ52" s="10">
        <f t="shared" si="4"/>
        <v>691</v>
      </c>
      <c r="AR52" s="10"/>
      <c r="AS52" s="10">
        <f t="shared" si="5"/>
        <v>0</v>
      </c>
      <c r="AT52" s="10">
        <f t="shared" si="6"/>
        <v>0</v>
      </c>
      <c r="AU52" s="10">
        <f t="shared" si="12"/>
        <v>0</v>
      </c>
      <c r="AV52" s="10">
        <f>'Tulumaks 2021-2024'!J52*0.0188*'Tulumaks 2021-2024'!J$85</f>
        <v>391660.3908910873</v>
      </c>
      <c r="AW52" s="10">
        <v>107</v>
      </c>
      <c r="AX52" s="10">
        <f t="shared" si="13"/>
        <v>94975.6091089127</v>
      </c>
      <c r="AY52" s="10">
        <f>SUM('Tulumaks 2021-2024'!H52:I52)</f>
        <v>9485563.6799999997</v>
      </c>
      <c r="AZ52" s="10">
        <v>4091116</v>
      </c>
      <c r="BA52" s="10">
        <f t="shared" si="14"/>
        <v>38687.132221108215</v>
      </c>
      <c r="BB52" s="10"/>
      <c r="BC52" s="10">
        <f t="shared" si="15"/>
        <v>1883819</v>
      </c>
      <c r="BD52" s="10">
        <v>1588443</v>
      </c>
      <c r="BE52" s="10">
        <f t="shared" si="16"/>
        <v>295376</v>
      </c>
      <c r="BF52" s="5"/>
      <c r="BG52" s="5"/>
      <c r="BH52" s="112"/>
      <c r="BI52" s="112"/>
      <c r="BL52" s="56"/>
      <c r="BM52" s="56"/>
    </row>
    <row r="53" spans="1:65" ht="15" x14ac:dyDescent="0.25">
      <c r="A53" s="20" t="s">
        <v>28</v>
      </c>
      <c r="B53" s="21" t="s">
        <v>30</v>
      </c>
      <c r="C53" s="21" t="s">
        <v>30</v>
      </c>
      <c r="D53" s="10">
        <f>'Tulumaks 2021-2024'!D53*0.025*'Tulumaks 2021-2024'!D$85</f>
        <v>2161409.4221193902</v>
      </c>
      <c r="E53" s="10">
        <f>'Tulumaks 2021-2024'!E53*0.025*'Tulumaks 2021-2024'!E$85</f>
        <v>2306234.3424254265</v>
      </c>
      <c r="F53" s="10">
        <f>'Tulumaks 2021-2024'!F53*0.025*'Tulumaks 2021-2024'!F$85</f>
        <v>2665267.7279512961</v>
      </c>
      <c r="G53" s="10">
        <v>43400546.948996656</v>
      </c>
      <c r="H53" s="10">
        <v>48390792.872909695</v>
      </c>
      <c r="I53" s="10">
        <f>'Tulumaks 2021-2024'!O53/11.96*11.89</f>
        <v>52568907.060200669</v>
      </c>
      <c r="J53" s="10">
        <v>2346010.6537666745</v>
      </c>
      <c r="K53" s="4">
        <f t="shared" si="7"/>
        <v>54284597.486666404</v>
      </c>
      <c r="L53" s="10">
        <v>3586</v>
      </c>
      <c r="M53" s="10">
        <v>7319</v>
      </c>
      <c r="N53" s="10">
        <v>5541</v>
      </c>
      <c r="O53" s="10">
        <v>29153</v>
      </c>
      <c r="P53" s="10">
        <v>11792</v>
      </c>
      <c r="Q53" s="10">
        <v>9966</v>
      </c>
      <c r="R53" s="10">
        <v>1826</v>
      </c>
      <c r="S53" s="10">
        <f t="shared" si="8"/>
        <v>51850</v>
      </c>
      <c r="T53" s="116">
        <v>1.18</v>
      </c>
      <c r="U53" s="10">
        <v>353</v>
      </c>
      <c r="V53" s="10">
        <v>22</v>
      </c>
      <c r="W53" s="10">
        <v>43</v>
      </c>
      <c r="X53" s="10">
        <v>4</v>
      </c>
      <c r="Y53" s="3">
        <f t="shared" si="9"/>
        <v>61856759.817282669</v>
      </c>
      <c r="Z53" s="10"/>
      <c r="AA53" s="12">
        <f t="shared" si="0"/>
        <v>6814946</v>
      </c>
      <c r="AB53" s="12">
        <v>0</v>
      </c>
      <c r="AC53" s="12">
        <f t="shared" si="1"/>
        <v>6814946</v>
      </c>
      <c r="AD53" s="12">
        <v>3745</v>
      </c>
      <c r="AE53" s="12">
        <v>6929</v>
      </c>
      <c r="AF53" s="12">
        <v>5380</v>
      </c>
      <c r="AG53" s="12">
        <v>29899</v>
      </c>
      <c r="AH53" s="12">
        <v>11315</v>
      </c>
      <c r="AI53" s="12">
        <f t="shared" si="10"/>
        <v>51888</v>
      </c>
      <c r="AJ53" s="12">
        <f t="shared" si="2"/>
        <v>61979568.908090144</v>
      </c>
      <c r="AK53" s="12">
        <f t="shared" si="3"/>
        <v>6925474</v>
      </c>
      <c r="AL53" s="12">
        <f t="shared" si="11"/>
        <v>22105.600000000002</v>
      </c>
      <c r="AM53" s="10">
        <f>SUMIF(AK$92:AK$108,C53,AM$92:AM$108)</f>
        <v>47</v>
      </c>
      <c r="AN53" s="117">
        <f>SUMIF(AK$92:AK$108,C53,AN$92:AN$108)</f>
        <v>0.9</v>
      </c>
      <c r="AO53" s="12">
        <f>ROUND((AM53*M$100+AN53*M$101),0)+SUMIF(AK$92:AK$108,C53,AO$92:AO$108)</f>
        <v>29466.271977729099</v>
      </c>
      <c r="AP53" s="10">
        <v>0</v>
      </c>
      <c r="AQ53" s="10">
        <f t="shared" si="4"/>
        <v>0</v>
      </c>
      <c r="AR53" s="10"/>
      <c r="AS53" s="10">
        <f t="shared" si="5"/>
        <v>0</v>
      </c>
      <c r="AT53" s="10">
        <f t="shared" si="6"/>
        <v>0</v>
      </c>
      <c r="AU53" s="10">
        <f t="shared" si="12"/>
        <v>0</v>
      </c>
      <c r="AV53" s="10">
        <f>'Tulumaks 2021-2024'!J53*0.0188*'Tulumaks 2021-2024'!J$85</f>
        <v>2273858.917064969</v>
      </c>
      <c r="AW53" s="10">
        <v>512</v>
      </c>
      <c r="AX53" s="10">
        <f t="shared" si="13"/>
        <v>54717.082935031038</v>
      </c>
      <c r="AY53" s="10">
        <f>SUM('Tulumaks 2021-2024'!H53:I53)</f>
        <v>54858643.519999996</v>
      </c>
      <c r="AZ53" s="10">
        <v>27186829</v>
      </c>
      <c r="BA53" s="10">
        <f t="shared" si="14"/>
        <v>228832.36219528352</v>
      </c>
      <c r="BB53" s="10"/>
      <c r="BC53" s="10">
        <f t="shared" si="15"/>
        <v>7150067</v>
      </c>
      <c r="BD53" s="10">
        <v>5672585</v>
      </c>
      <c r="BE53" s="10">
        <f t="shared" si="16"/>
        <v>1477482</v>
      </c>
      <c r="BF53" s="5"/>
      <c r="BG53" s="5"/>
      <c r="BH53" s="112"/>
      <c r="BI53" s="112"/>
      <c r="BL53" s="56"/>
      <c r="BM53" s="56"/>
    </row>
    <row r="54" spans="1:65" ht="15" x14ac:dyDescent="0.25">
      <c r="A54" s="20" t="s">
        <v>28</v>
      </c>
      <c r="B54" s="21" t="s">
        <v>108</v>
      </c>
      <c r="C54" s="21" t="s">
        <v>33</v>
      </c>
      <c r="D54" s="10">
        <f>'Tulumaks 2021-2024'!D54*0.025*'Tulumaks 2021-2024'!D$85</f>
        <v>210918.79500750458</v>
      </c>
      <c r="E54" s="10">
        <f>'Tulumaks 2021-2024'!E54*0.025*'Tulumaks 2021-2024'!E$85</f>
        <v>221468.69895097706</v>
      </c>
      <c r="F54" s="10">
        <f>'Tulumaks 2021-2024'!F54*0.025*'Tulumaks 2021-2024'!F$85</f>
        <v>253385.71687405845</v>
      </c>
      <c r="G54" s="10">
        <v>3496632.2759197326</v>
      </c>
      <c r="H54" s="10">
        <v>3799108.5075250836</v>
      </c>
      <c r="I54" s="10">
        <f>'Tulumaks 2021-2024'!O54/11.96*11.89</f>
        <v>4176988.8127090298</v>
      </c>
      <c r="J54" s="10">
        <v>412500.3932499995</v>
      </c>
      <c r="K54" s="4">
        <f t="shared" si="7"/>
        <v>4575371.034169809</v>
      </c>
      <c r="L54" s="10">
        <v>237</v>
      </c>
      <c r="M54" s="10">
        <v>484</v>
      </c>
      <c r="N54" s="10">
        <v>369</v>
      </c>
      <c r="O54" s="10">
        <v>2526</v>
      </c>
      <c r="P54" s="10">
        <v>1131</v>
      </c>
      <c r="Q54" s="10">
        <v>981</v>
      </c>
      <c r="R54" s="10">
        <v>150</v>
      </c>
      <c r="S54" s="10">
        <f t="shared" si="8"/>
        <v>4378</v>
      </c>
      <c r="T54" s="116">
        <v>1.92</v>
      </c>
      <c r="U54" s="10">
        <v>51</v>
      </c>
      <c r="V54" s="10">
        <v>2</v>
      </c>
      <c r="W54" s="10">
        <v>4</v>
      </c>
      <c r="X54" s="10">
        <v>0</v>
      </c>
      <c r="Y54" s="3">
        <f t="shared" si="9"/>
        <v>5291948.8020588355</v>
      </c>
      <c r="Z54" s="10"/>
      <c r="AA54" s="12">
        <f t="shared" si="0"/>
        <v>644920</v>
      </c>
      <c r="AB54" s="12">
        <v>0</v>
      </c>
      <c r="AC54" s="12">
        <f t="shared" si="1"/>
        <v>644920</v>
      </c>
      <c r="AD54" s="12">
        <v>247</v>
      </c>
      <c r="AE54" s="12">
        <v>487</v>
      </c>
      <c r="AF54" s="12">
        <v>359</v>
      </c>
      <c r="AG54" s="12">
        <v>2797</v>
      </c>
      <c r="AH54" s="12">
        <v>1096</v>
      </c>
      <c r="AI54" s="12">
        <f t="shared" si="10"/>
        <v>4627</v>
      </c>
      <c r="AJ54" s="12">
        <f t="shared" si="2"/>
        <v>5442163.3401993951</v>
      </c>
      <c r="AK54" s="12">
        <f t="shared" si="3"/>
        <v>780113</v>
      </c>
      <c r="AL54" s="12">
        <f t="shared" si="11"/>
        <v>27038.600000000002</v>
      </c>
      <c r="AM54" s="7"/>
      <c r="AN54" s="117"/>
      <c r="AO54" s="7"/>
      <c r="AP54" s="10">
        <v>0</v>
      </c>
      <c r="AQ54" s="10">
        <f t="shared" si="4"/>
        <v>0</v>
      </c>
      <c r="AR54" s="10"/>
      <c r="AS54" s="10">
        <f t="shared" si="5"/>
        <v>0</v>
      </c>
      <c r="AT54" s="10">
        <f t="shared" si="6"/>
        <v>0</v>
      </c>
      <c r="AU54" s="10">
        <f t="shared" si="12"/>
        <v>0</v>
      </c>
      <c r="AV54" s="10">
        <f>'Tulumaks 2021-2024'!J54*0.0188*'Tulumaks 2021-2024'!J$85</f>
        <v>216174.67008233932</v>
      </c>
      <c r="AW54" s="10">
        <v>69</v>
      </c>
      <c r="AX54" s="10">
        <f t="shared" si="13"/>
        <v>97637.329917660682</v>
      </c>
      <c r="AY54" s="10">
        <f>SUM('Tulumaks 2021-2024'!H54:I54)</f>
        <v>5204768.74</v>
      </c>
      <c r="AZ54" s="10">
        <v>2120610</v>
      </c>
      <c r="BA54" s="10">
        <f t="shared" si="14"/>
        <v>21048.519883908273</v>
      </c>
      <c r="BB54" s="10"/>
      <c r="BC54" s="10">
        <f t="shared" si="15"/>
        <v>790644</v>
      </c>
      <c r="BD54" s="10">
        <v>680943</v>
      </c>
      <c r="BE54" s="10">
        <f t="shared" si="16"/>
        <v>109701</v>
      </c>
      <c r="BF54" s="5"/>
      <c r="BG54" s="5"/>
      <c r="BH54" s="112"/>
      <c r="BI54" s="112"/>
      <c r="BL54" s="56"/>
      <c r="BM54" s="56"/>
    </row>
    <row r="55" spans="1:65" ht="15" x14ac:dyDescent="0.25">
      <c r="A55" s="20" t="s">
        <v>28</v>
      </c>
      <c r="B55" s="21" t="s">
        <v>107</v>
      </c>
      <c r="C55" s="21" t="s">
        <v>29</v>
      </c>
      <c r="D55" s="10">
        <f>'Tulumaks 2021-2024'!D55*0.025*'Tulumaks 2021-2024'!D$85</f>
        <v>423390.94738810434</v>
      </c>
      <c r="E55" s="10">
        <f>'Tulumaks 2021-2024'!E55*0.025*'Tulumaks 2021-2024'!E$85</f>
        <v>449583.787334411</v>
      </c>
      <c r="F55" s="10">
        <f>'Tulumaks 2021-2024'!F55*0.025*'Tulumaks 2021-2024'!F$85</f>
        <v>524808.65939179668</v>
      </c>
      <c r="G55" s="10">
        <v>10043696.741638796</v>
      </c>
      <c r="H55" s="10">
        <v>11594283.969063545</v>
      </c>
      <c r="I55" s="10">
        <f>'Tulumaks 2021-2024'!O55/11.96*11.89</f>
        <v>12952056.355351171</v>
      </c>
      <c r="J55" s="10">
        <v>342252.80087717448</v>
      </c>
      <c r="K55" s="4">
        <f t="shared" si="7"/>
        <v>12787263.172973424</v>
      </c>
      <c r="L55" s="10">
        <v>1032</v>
      </c>
      <c r="M55" s="10">
        <v>1944</v>
      </c>
      <c r="N55" s="10">
        <v>1492</v>
      </c>
      <c r="O55" s="10">
        <v>7303</v>
      </c>
      <c r="P55" s="10">
        <v>2293</v>
      </c>
      <c r="Q55" s="10">
        <v>1997</v>
      </c>
      <c r="R55" s="10">
        <v>296</v>
      </c>
      <c r="S55" s="10">
        <f t="shared" si="8"/>
        <v>12572</v>
      </c>
      <c r="T55" s="116">
        <v>1.57</v>
      </c>
      <c r="U55" s="10">
        <v>112</v>
      </c>
      <c r="V55" s="10">
        <v>6</v>
      </c>
      <c r="W55" s="10">
        <v>2</v>
      </c>
      <c r="X55" s="10">
        <v>1</v>
      </c>
      <c r="Y55" s="3">
        <f t="shared" si="9"/>
        <v>16176585.789503662</v>
      </c>
      <c r="Z55" s="10"/>
      <c r="AA55" s="12">
        <f t="shared" si="0"/>
        <v>3050390</v>
      </c>
      <c r="AB55" s="12">
        <v>0</v>
      </c>
      <c r="AC55" s="12">
        <f t="shared" si="1"/>
        <v>3050390</v>
      </c>
      <c r="AD55" s="12">
        <v>947</v>
      </c>
      <c r="AE55" s="12">
        <v>1562</v>
      </c>
      <c r="AF55" s="12">
        <v>1205</v>
      </c>
      <c r="AG55" s="12">
        <v>7204</v>
      </c>
      <c r="AH55" s="12">
        <v>2162</v>
      </c>
      <c r="AI55" s="12">
        <f t="shared" si="10"/>
        <v>11875</v>
      </c>
      <c r="AJ55" s="12">
        <f t="shared" si="2"/>
        <v>14733360.775125673</v>
      </c>
      <c r="AK55" s="12">
        <f t="shared" si="3"/>
        <v>1751488</v>
      </c>
      <c r="AL55" s="12">
        <f t="shared" si="11"/>
        <v>0</v>
      </c>
      <c r="AM55" s="7"/>
      <c r="AN55" s="117"/>
      <c r="AO55" s="7"/>
      <c r="AP55" s="10">
        <v>0</v>
      </c>
      <c r="AQ55" s="10">
        <f t="shared" si="4"/>
        <v>0</v>
      </c>
      <c r="AR55" s="10">
        <v>3</v>
      </c>
      <c r="AS55" s="10">
        <f t="shared" si="5"/>
        <v>20880</v>
      </c>
      <c r="AT55" s="10">
        <f t="shared" si="6"/>
        <v>0</v>
      </c>
      <c r="AU55" s="10">
        <f t="shared" si="12"/>
        <v>0</v>
      </c>
      <c r="AV55" s="10">
        <f>'Tulumaks 2021-2024'!J55*0.0188*'Tulumaks 2021-2024'!J$85</f>
        <v>447737.70281915768</v>
      </c>
      <c r="AW55" s="10">
        <v>83</v>
      </c>
      <c r="AX55" s="10">
        <f t="shared" si="13"/>
        <v>0</v>
      </c>
      <c r="AY55" s="10">
        <f>SUM('Tulumaks 2021-2024'!H55:I55)</f>
        <v>10842776.93</v>
      </c>
      <c r="AZ55" s="10">
        <v>6702837</v>
      </c>
      <c r="BA55" s="10">
        <f t="shared" si="14"/>
        <v>47147.381494369823</v>
      </c>
      <c r="BB55" s="10"/>
      <c r="BC55" s="10">
        <f t="shared" si="15"/>
        <v>3118417</v>
      </c>
      <c r="BD55" s="10">
        <v>2914611</v>
      </c>
      <c r="BE55" s="10">
        <f t="shared" si="16"/>
        <v>203806</v>
      </c>
      <c r="BF55" s="5"/>
      <c r="BG55" s="5"/>
      <c r="BH55" s="112"/>
      <c r="BI55" s="112"/>
      <c r="BL55" s="56"/>
      <c r="BM55" s="56"/>
    </row>
    <row r="56" spans="1:65" ht="15" x14ac:dyDescent="0.25">
      <c r="A56" s="20" t="s">
        <v>24</v>
      </c>
      <c r="B56" s="21" t="s">
        <v>106</v>
      </c>
      <c r="C56" s="21" t="s">
        <v>25</v>
      </c>
      <c r="D56" s="10">
        <f>'Tulumaks 2021-2024'!D56*0.025*'Tulumaks 2021-2024'!D$85</f>
        <v>230301.74481276885</v>
      </c>
      <c r="E56" s="10">
        <f>'Tulumaks 2021-2024'!E56*0.025*'Tulumaks 2021-2024'!E$85</f>
        <v>240589.80315179136</v>
      </c>
      <c r="F56" s="10">
        <f>'Tulumaks 2021-2024'!F56*0.025*'Tulumaks 2021-2024'!F$85</f>
        <v>281730.49947140284</v>
      </c>
      <c r="G56" s="10">
        <v>4729230.5994983278</v>
      </c>
      <c r="H56" s="10">
        <v>5405632.4188963212</v>
      </c>
      <c r="I56" s="10">
        <f>'Tulumaks 2021-2024'!O56/11.96*11.89</f>
        <v>5875544.9030100331</v>
      </c>
      <c r="J56" s="10">
        <v>223261.70629999996</v>
      </c>
      <c r="K56" s="4">
        <f t="shared" si="7"/>
        <v>5987672.5430173706</v>
      </c>
      <c r="L56" s="10">
        <v>382</v>
      </c>
      <c r="M56" s="10">
        <v>738</v>
      </c>
      <c r="N56" s="10">
        <v>551</v>
      </c>
      <c r="O56" s="10">
        <v>3091</v>
      </c>
      <c r="P56" s="10">
        <v>1236</v>
      </c>
      <c r="Q56" s="10">
        <v>1066</v>
      </c>
      <c r="R56" s="10">
        <v>170</v>
      </c>
      <c r="S56" s="10">
        <f t="shared" si="8"/>
        <v>5447</v>
      </c>
      <c r="T56" s="116">
        <v>2</v>
      </c>
      <c r="U56" s="10">
        <v>15</v>
      </c>
      <c r="V56" s="10">
        <v>0</v>
      </c>
      <c r="W56" s="10">
        <v>19</v>
      </c>
      <c r="X56" s="10">
        <v>0</v>
      </c>
      <c r="Y56" s="3">
        <f t="shared" si="9"/>
        <v>7319568.5078863893</v>
      </c>
      <c r="Z56" s="10"/>
      <c r="AA56" s="12">
        <f t="shared" si="0"/>
        <v>1198706</v>
      </c>
      <c r="AB56" s="12">
        <v>0</v>
      </c>
      <c r="AC56" s="12">
        <f t="shared" si="1"/>
        <v>1198706</v>
      </c>
      <c r="AD56" s="12">
        <v>382</v>
      </c>
      <c r="AE56" s="12">
        <v>692</v>
      </c>
      <c r="AF56" s="12">
        <v>544</v>
      </c>
      <c r="AG56" s="12">
        <v>3301</v>
      </c>
      <c r="AH56" s="12">
        <v>1166</v>
      </c>
      <c r="AI56" s="12">
        <f t="shared" si="10"/>
        <v>5541</v>
      </c>
      <c r="AJ56" s="12">
        <f t="shared" si="2"/>
        <v>7337868.6181335384</v>
      </c>
      <c r="AK56" s="12">
        <f t="shared" si="3"/>
        <v>1215176</v>
      </c>
      <c r="AL56" s="12">
        <f t="shared" si="11"/>
        <v>3294</v>
      </c>
      <c r="AM56" s="7"/>
      <c r="AN56" s="117"/>
      <c r="AO56" s="7"/>
      <c r="AP56" s="10">
        <v>307</v>
      </c>
      <c r="AQ56" s="10">
        <f t="shared" si="4"/>
        <v>220</v>
      </c>
      <c r="AR56" s="10"/>
      <c r="AS56" s="10">
        <f t="shared" si="5"/>
        <v>0</v>
      </c>
      <c r="AT56" s="10">
        <f t="shared" si="6"/>
        <v>0</v>
      </c>
      <c r="AU56" s="10">
        <f t="shared" si="12"/>
        <v>0</v>
      </c>
      <c r="AV56" s="10">
        <f>'Tulumaks 2021-2024'!J56*0.0188*'Tulumaks 2021-2024'!J$85</f>
        <v>240356.86986111407</v>
      </c>
      <c r="AW56" s="10">
        <v>55</v>
      </c>
      <c r="AX56" s="10">
        <f t="shared" si="13"/>
        <v>9783.1301388859283</v>
      </c>
      <c r="AY56" s="10">
        <f>SUM('Tulumaks 2021-2024'!H56:I56)</f>
        <v>5812069.2699999996</v>
      </c>
      <c r="AZ56" s="10">
        <v>3052629</v>
      </c>
      <c r="BA56" s="10">
        <f t="shared" si="14"/>
        <v>24492.612688136465</v>
      </c>
      <c r="BB56" s="10"/>
      <c r="BC56" s="10">
        <f t="shared" si="15"/>
        <v>1236496</v>
      </c>
      <c r="BD56" s="10">
        <v>763281</v>
      </c>
      <c r="BE56" s="10">
        <f t="shared" si="16"/>
        <v>473215</v>
      </c>
      <c r="BF56" s="5"/>
      <c r="BG56" s="5"/>
      <c r="BH56" s="112"/>
      <c r="BI56" s="112"/>
      <c r="BL56" s="56"/>
      <c r="BM56" s="56"/>
    </row>
    <row r="57" spans="1:65" ht="15" x14ac:dyDescent="0.25">
      <c r="A57" s="20" t="s">
        <v>24</v>
      </c>
      <c r="B57" s="21" t="s">
        <v>105</v>
      </c>
      <c r="C57" s="21" t="s">
        <v>23</v>
      </c>
      <c r="D57" s="10">
        <f>'Tulumaks 2021-2024'!D57*0.025*'Tulumaks 2021-2024'!D$85</f>
        <v>229535.27667316914</v>
      </c>
      <c r="E57" s="10">
        <f>'Tulumaks 2021-2024'!E57*0.025*'Tulumaks 2021-2024'!E$85</f>
        <v>250082.43681179962</v>
      </c>
      <c r="F57" s="10">
        <f>'Tulumaks 2021-2024'!F57*0.025*'Tulumaks 2021-2024'!F$85</f>
        <v>296209.96204016474</v>
      </c>
      <c r="G57" s="10">
        <v>7983595.1780936448</v>
      </c>
      <c r="H57" s="10">
        <v>8940113.8653846141</v>
      </c>
      <c r="I57" s="10">
        <f>'Tulumaks 2021-2024'!O57/11.96*11.89</f>
        <v>9928607.307692308</v>
      </c>
      <c r="J57" s="10">
        <v>273422.56697500031</v>
      </c>
      <c r="K57" s="4">
        <f t="shared" si="7"/>
        <v>9785516.1834535226</v>
      </c>
      <c r="L57" s="10">
        <v>663</v>
      </c>
      <c r="M57" s="10">
        <v>1328</v>
      </c>
      <c r="N57" s="10">
        <v>1015</v>
      </c>
      <c r="O57" s="10">
        <v>4573</v>
      </c>
      <c r="P57" s="10">
        <v>1261</v>
      </c>
      <c r="Q57" s="10">
        <v>1126</v>
      </c>
      <c r="R57" s="10">
        <v>135</v>
      </c>
      <c r="S57" s="10">
        <f t="shared" si="8"/>
        <v>7825</v>
      </c>
      <c r="T57" s="116">
        <v>1.41</v>
      </c>
      <c r="U57" s="10">
        <v>177</v>
      </c>
      <c r="V57" s="10">
        <v>5</v>
      </c>
      <c r="W57" s="10">
        <v>12</v>
      </c>
      <c r="X57" s="10">
        <v>2</v>
      </c>
      <c r="Y57" s="3">
        <f t="shared" si="9"/>
        <v>10545672.633691128</v>
      </c>
      <c r="Z57" s="10"/>
      <c r="AA57" s="12">
        <f t="shared" si="0"/>
        <v>684141</v>
      </c>
      <c r="AB57" s="12">
        <v>0</v>
      </c>
      <c r="AC57" s="12">
        <f t="shared" si="1"/>
        <v>684141</v>
      </c>
      <c r="AD57" s="12">
        <v>612</v>
      </c>
      <c r="AE57" s="12">
        <v>1140</v>
      </c>
      <c r="AF57" s="12">
        <v>944</v>
      </c>
      <c r="AG57" s="12">
        <v>4416</v>
      </c>
      <c r="AH57" s="12">
        <v>1105</v>
      </c>
      <c r="AI57" s="12">
        <f t="shared" si="10"/>
        <v>7273</v>
      </c>
      <c r="AJ57" s="12">
        <f t="shared" si="2"/>
        <v>9833614.5543022472</v>
      </c>
      <c r="AK57" s="12">
        <f t="shared" si="3"/>
        <v>43289</v>
      </c>
      <c r="AL57" s="12">
        <f t="shared" si="11"/>
        <v>0</v>
      </c>
      <c r="AM57" s="7"/>
      <c r="AN57" s="117"/>
      <c r="AO57" s="7"/>
      <c r="AP57" s="10">
        <v>4792</v>
      </c>
      <c r="AQ57" s="10">
        <f t="shared" si="4"/>
        <v>3426</v>
      </c>
      <c r="AR57" s="10"/>
      <c r="AS57" s="10">
        <f t="shared" si="5"/>
        <v>0</v>
      </c>
      <c r="AT57" s="10">
        <f t="shared" si="6"/>
        <v>0</v>
      </c>
      <c r="AU57" s="10">
        <f t="shared" si="12"/>
        <v>0</v>
      </c>
      <c r="AV57" s="10">
        <f>'Tulumaks 2021-2024'!J57*0.0188*'Tulumaks 2021-2024'!J$85</f>
        <v>252709.94596337705</v>
      </c>
      <c r="AW57" s="10">
        <v>55</v>
      </c>
      <c r="AX57" s="10">
        <f t="shared" si="13"/>
        <v>0</v>
      </c>
      <c r="AY57" s="10">
        <f>SUM('Tulumaks 2021-2024'!H57:I57)</f>
        <v>6104091.9000000004</v>
      </c>
      <c r="AZ57" s="10">
        <v>5072100</v>
      </c>
      <c r="BA57" s="10">
        <f t="shared" si="14"/>
        <v>28416.721546724802</v>
      </c>
      <c r="BB57" s="10"/>
      <c r="BC57" s="10">
        <f t="shared" si="15"/>
        <v>715984</v>
      </c>
      <c r="BD57" s="10">
        <v>609899</v>
      </c>
      <c r="BE57" s="10">
        <f t="shared" si="16"/>
        <v>106085</v>
      </c>
      <c r="BF57" s="5"/>
      <c r="BG57" s="5"/>
      <c r="BH57" s="112"/>
      <c r="BI57" s="112"/>
      <c r="BL57" s="56"/>
      <c r="BM57" s="56"/>
    </row>
    <row r="58" spans="1:65" ht="15" x14ac:dyDescent="0.25">
      <c r="A58" s="20" t="s">
        <v>24</v>
      </c>
      <c r="B58" s="21" t="s">
        <v>104</v>
      </c>
      <c r="C58" s="21" t="s">
        <v>26</v>
      </c>
      <c r="D58" s="10">
        <f>'Tulumaks 2021-2024'!D58*0.025*'Tulumaks 2021-2024'!D$85</f>
        <v>319894.19957339275</v>
      </c>
      <c r="E58" s="10">
        <f>'Tulumaks 2021-2024'!E58*0.025*'Tulumaks 2021-2024'!E$85</f>
        <v>339436.66013127676</v>
      </c>
      <c r="F58" s="10">
        <f>'Tulumaks 2021-2024'!F58*0.025*'Tulumaks 2021-2024'!F$85</f>
        <v>396977.82105282112</v>
      </c>
      <c r="G58" s="10">
        <v>6219570.5209030099</v>
      </c>
      <c r="H58" s="10">
        <v>6875944.2516722409</v>
      </c>
      <c r="I58" s="10">
        <f>'Tulumaks 2021-2024'!O58/11.96*11.89</f>
        <v>7560453.3411371233</v>
      </c>
      <c r="J58" s="10">
        <v>512698.19082500017</v>
      </c>
      <c r="K58" s="4">
        <f t="shared" si="7"/>
        <v>7963920.9895563088</v>
      </c>
      <c r="L58" s="10">
        <v>464</v>
      </c>
      <c r="M58" s="10">
        <v>949</v>
      </c>
      <c r="N58" s="10">
        <v>707</v>
      </c>
      <c r="O58" s="10">
        <v>4337</v>
      </c>
      <c r="P58" s="10">
        <v>1760</v>
      </c>
      <c r="Q58" s="10">
        <v>1532</v>
      </c>
      <c r="R58" s="10">
        <v>228</v>
      </c>
      <c r="S58" s="10">
        <f t="shared" si="8"/>
        <v>7510</v>
      </c>
      <c r="T58" s="116">
        <v>1.65</v>
      </c>
      <c r="U58" s="10">
        <v>108</v>
      </c>
      <c r="V58" s="10">
        <v>0</v>
      </c>
      <c r="W58" s="10">
        <v>17</v>
      </c>
      <c r="X58" s="10">
        <v>0</v>
      </c>
      <c r="Y58" s="3">
        <f t="shared" si="9"/>
        <v>9421746.7594353594</v>
      </c>
      <c r="Z58" s="10"/>
      <c r="AA58" s="12">
        <f t="shared" si="0"/>
        <v>1312043</v>
      </c>
      <c r="AB58" s="12">
        <v>0</v>
      </c>
      <c r="AC58" s="12">
        <f t="shared" si="1"/>
        <v>1312043</v>
      </c>
      <c r="AD58" s="12">
        <v>440</v>
      </c>
      <c r="AE58" s="12">
        <v>915</v>
      </c>
      <c r="AF58" s="12">
        <v>685</v>
      </c>
      <c r="AG58" s="12">
        <v>4604</v>
      </c>
      <c r="AH58" s="12">
        <v>1697</v>
      </c>
      <c r="AI58" s="12">
        <f t="shared" si="10"/>
        <v>7656</v>
      </c>
      <c r="AJ58" s="12">
        <f t="shared" si="2"/>
        <v>9359169.0482037608</v>
      </c>
      <c r="AK58" s="12">
        <f t="shared" si="3"/>
        <v>1255723</v>
      </c>
      <c r="AL58" s="12">
        <f t="shared" si="11"/>
        <v>0</v>
      </c>
      <c r="AM58" s="7"/>
      <c r="AN58" s="117"/>
      <c r="AO58" s="7"/>
      <c r="AP58" s="10">
        <v>2533</v>
      </c>
      <c r="AQ58" s="10">
        <f t="shared" si="4"/>
        <v>1811</v>
      </c>
      <c r="AR58" s="10">
        <v>1</v>
      </c>
      <c r="AS58" s="10">
        <f t="shared" si="5"/>
        <v>6960</v>
      </c>
      <c r="AT58" s="10">
        <f t="shared" si="6"/>
        <v>0</v>
      </c>
      <c r="AU58" s="10">
        <f t="shared" si="12"/>
        <v>0</v>
      </c>
      <c r="AV58" s="10">
        <f>'Tulumaks 2021-2024'!J58*0.0188*'Tulumaks 2021-2024'!J$85</f>
        <v>338679.50630679535</v>
      </c>
      <c r="AW58" s="10">
        <v>105</v>
      </c>
      <c r="AX58" s="10">
        <f t="shared" si="13"/>
        <v>131900.49369320465</v>
      </c>
      <c r="AY58" s="10">
        <f>SUM('Tulumaks 2021-2024'!H58:I58)</f>
        <v>8207782.6999999993</v>
      </c>
      <c r="AZ58" s="10">
        <v>3868001</v>
      </c>
      <c r="BA58" s="10">
        <f t="shared" si="14"/>
        <v>33949.085476148211</v>
      </c>
      <c r="BB58" s="10"/>
      <c r="BC58" s="10">
        <f t="shared" si="15"/>
        <v>1486664</v>
      </c>
      <c r="BD58" s="10">
        <v>953805</v>
      </c>
      <c r="BE58" s="10">
        <f t="shared" si="16"/>
        <v>532859</v>
      </c>
      <c r="BF58" s="5"/>
      <c r="BG58" s="5"/>
      <c r="BH58" s="112"/>
      <c r="BI58" s="112"/>
      <c r="BL58" s="56"/>
      <c r="BM58" s="56"/>
    </row>
    <row r="59" spans="1:65" ht="15" x14ac:dyDescent="0.25">
      <c r="A59" s="20" t="s">
        <v>24</v>
      </c>
      <c r="B59" s="21" t="s">
        <v>103</v>
      </c>
      <c r="C59" s="21" t="s">
        <v>24</v>
      </c>
      <c r="D59" s="10">
        <f>'Tulumaks 2021-2024'!D59*0.025*'Tulumaks 2021-2024'!D$85</f>
        <v>541575.19791713986</v>
      </c>
      <c r="E59" s="10">
        <f>'Tulumaks 2021-2024'!E59*0.025*'Tulumaks 2021-2024'!E$85</f>
        <v>580843.74391312862</v>
      </c>
      <c r="F59" s="10">
        <f>'Tulumaks 2021-2024'!F59*0.025*'Tulumaks 2021-2024'!F$85</f>
        <v>678459.93026314897</v>
      </c>
      <c r="G59" s="10">
        <v>12433460.484949833</v>
      </c>
      <c r="H59" s="10">
        <v>13839185.559364548</v>
      </c>
      <c r="I59" s="10">
        <f>'Tulumaks 2021-2024'!O59/11.96*11.89</f>
        <v>15169097.965719065</v>
      </c>
      <c r="J59" s="10">
        <v>483886.76862500049</v>
      </c>
      <c r="K59" s="4">
        <f t="shared" si="7"/>
        <v>15328681.644172804</v>
      </c>
      <c r="L59" s="10">
        <v>1021</v>
      </c>
      <c r="M59" s="10">
        <v>1874</v>
      </c>
      <c r="N59" s="10">
        <v>1411</v>
      </c>
      <c r="O59" s="10">
        <v>7441</v>
      </c>
      <c r="P59" s="10">
        <v>2868</v>
      </c>
      <c r="Q59" s="10">
        <v>2487</v>
      </c>
      <c r="R59" s="10">
        <v>381</v>
      </c>
      <c r="S59" s="10">
        <f t="shared" si="8"/>
        <v>13204</v>
      </c>
      <c r="T59" s="116">
        <v>1.57</v>
      </c>
      <c r="U59" s="10">
        <v>57</v>
      </c>
      <c r="V59" s="10">
        <v>3</v>
      </c>
      <c r="W59" s="10">
        <v>7</v>
      </c>
      <c r="X59" s="10">
        <v>0</v>
      </c>
      <c r="Y59" s="3">
        <f t="shared" si="9"/>
        <v>16570640.640514508</v>
      </c>
      <c r="Z59" s="10"/>
      <c r="AA59" s="12">
        <f t="shared" si="0"/>
        <v>1117763</v>
      </c>
      <c r="AB59" s="12">
        <v>11382.634374435525</v>
      </c>
      <c r="AC59" s="12">
        <f t="shared" si="1"/>
        <v>1129145.6343744355</v>
      </c>
      <c r="AD59" s="12">
        <v>961</v>
      </c>
      <c r="AE59" s="12">
        <v>1798</v>
      </c>
      <c r="AF59" s="12">
        <v>1383</v>
      </c>
      <c r="AG59" s="12">
        <v>7878</v>
      </c>
      <c r="AH59" s="12">
        <v>2666</v>
      </c>
      <c r="AI59" s="12">
        <f t="shared" si="10"/>
        <v>13303</v>
      </c>
      <c r="AJ59" s="12">
        <f t="shared" si="2"/>
        <v>16309033.049417324</v>
      </c>
      <c r="AK59" s="12">
        <f t="shared" si="3"/>
        <v>882316</v>
      </c>
      <c r="AL59" s="12">
        <f t="shared" si="11"/>
        <v>0</v>
      </c>
      <c r="AM59" s="7"/>
      <c r="AN59" s="117"/>
      <c r="AO59" s="7"/>
      <c r="AP59" s="10">
        <v>26689</v>
      </c>
      <c r="AQ59" s="10">
        <f t="shared" si="4"/>
        <v>19083</v>
      </c>
      <c r="AR59" s="10"/>
      <c r="AS59" s="10">
        <f t="shared" si="5"/>
        <v>0</v>
      </c>
      <c r="AT59" s="10">
        <f t="shared" si="6"/>
        <v>0</v>
      </c>
      <c r="AU59" s="10">
        <f t="shared" si="12"/>
        <v>0</v>
      </c>
      <c r="AV59" s="10">
        <f>'Tulumaks 2021-2024'!J59*0.0188*'Tulumaks 2021-2024'!J$85</f>
        <v>578824.46334424289</v>
      </c>
      <c r="AW59" s="10">
        <v>135</v>
      </c>
      <c r="AX59" s="10">
        <f t="shared" si="13"/>
        <v>35155.536655757111</v>
      </c>
      <c r="AY59" s="10">
        <f>SUM('Tulumaks 2021-2024'!H59:I59)</f>
        <v>14006659.859999999</v>
      </c>
      <c r="AZ59" s="10">
        <v>7779640</v>
      </c>
      <c r="BA59" s="10">
        <f t="shared" si="14"/>
        <v>59635.990919893913</v>
      </c>
      <c r="BB59" s="10"/>
      <c r="BC59" s="10">
        <f t="shared" si="15"/>
        <v>1243020</v>
      </c>
      <c r="BD59" s="10">
        <v>999704</v>
      </c>
      <c r="BE59" s="10">
        <f t="shared" si="16"/>
        <v>243316</v>
      </c>
      <c r="BF59" s="5"/>
      <c r="BG59" s="5"/>
      <c r="BH59" s="112"/>
      <c r="BI59" s="112"/>
      <c r="BL59" s="56"/>
      <c r="BM59" s="56"/>
    </row>
    <row r="60" spans="1:65" ht="15" x14ac:dyDescent="0.25">
      <c r="A60" s="20" t="s">
        <v>20</v>
      </c>
      <c r="B60" s="21" t="s">
        <v>102</v>
      </c>
      <c r="C60" s="21" t="s">
        <v>21</v>
      </c>
      <c r="D60" s="10">
        <f>'Tulumaks 2021-2024'!D60*0.025*'Tulumaks 2021-2024'!D$85</f>
        <v>91991.564035586081</v>
      </c>
      <c r="E60" s="10">
        <f>'Tulumaks 2021-2024'!E60*0.025*'Tulumaks 2021-2024'!E$85</f>
        <v>97649.856754540611</v>
      </c>
      <c r="F60" s="10">
        <f>'Tulumaks 2021-2024'!F60*0.025*'Tulumaks 2021-2024'!F$85</f>
        <v>117033.40813037707</v>
      </c>
      <c r="G60" s="10">
        <v>2058651.1028428092</v>
      </c>
      <c r="H60" s="10">
        <v>2305496.8478260869</v>
      </c>
      <c r="I60" s="10">
        <f>'Tulumaks 2021-2024'!O60/11.96*11.89</f>
        <v>2678628.1120401337</v>
      </c>
      <c r="J60" s="10">
        <v>109983.86232411755</v>
      </c>
      <c r="K60" s="4">
        <f t="shared" si="7"/>
        <v>2658887.1671592402</v>
      </c>
      <c r="L60" s="10">
        <v>94</v>
      </c>
      <c r="M60" s="10">
        <v>179</v>
      </c>
      <c r="N60" s="10">
        <v>143</v>
      </c>
      <c r="O60" s="10">
        <v>1306</v>
      </c>
      <c r="P60" s="10">
        <v>506</v>
      </c>
      <c r="Q60" s="10">
        <v>419</v>
      </c>
      <c r="R60" s="10">
        <v>87</v>
      </c>
      <c r="S60" s="10">
        <f t="shared" si="8"/>
        <v>2085</v>
      </c>
      <c r="T60" s="116">
        <v>2.1</v>
      </c>
      <c r="U60" s="10">
        <v>15</v>
      </c>
      <c r="V60" s="10">
        <v>0</v>
      </c>
      <c r="W60" s="10">
        <v>0</v>
      </c>
      <c r="X60" s="10">
        <v>0</v>
      </c>
      <c r="Y60" s="3">
        <f t="shared" si="9"/>
        <v>2322285.2928015525</v>
      </c>
      <c r="Z60" s="10"/>
      <c r="AA60" s="12">
        <f t="shared" si="0"/>
        <v>0</v>
      </c>
      <c r="AB60" s="12">
        <v>0</v>
      </c>
      <c r="AC60" s="12">
        <f t="shared" si="1"/>
        <v>0</v>
      </c>
      <c r="AD60" s="12">
        <v>96</v>
      </c>
      <c r="AE60" s="12">
        <v>150</v>
      </c>
      <c r="AF60" s="12">
        <v>112</v>
      </c>
      <c r="AG60" s="12">
        <v>1214</v>
      </c>
      <c r="AH60" s="12">
        <v>485</v>
      </c>
      <c r="AI60" s="12">
        <f t="shared" si="10"/>
        <v>1945</v>
      </c>
      <c r="AJ60" s="12">
        <f t="shared" si="2"/>
        <v>2142415.5706514646</v>
      </c>
      <c r="AK60" s="12">
        <f t="shared" si="3"/>
        <v>0</v>
      </c>
      <c r="AL60" s="12">
        <f t="shared" si="11"/>
        <v>0</v>
      </c>
      <c r="AM60" s="10">
        <f>SUMIF(AK$92:AK$108,C60,AM$92:AM$108)</f>
        <v>16</v>
      </c>
      <c r="AN60" s="117">
        <f>SUMIF(AK$92:AK$108,C60,AN$92:AN$108)</f>
        <v>12.3</v>
      </c>
      <c r="AO60" s="12">
        <f>ROUND((AM60*M$100+AN60*M$101),0)+SUMIF(AK$92:AK$108,C60,AO$92:AO$108)</f>
        <v>46634.543955458197</v>
      </c>
      <c r="AP60" s="10">
        <v>0</v>
      </c>
      <c r="AQ60" s="10">
        <f t="shared" si="4"/>
        <v>0</v>
      </c>
      <c r="AR60" s="10"/>
      <c r="AS60" s="10">
        <f t="shared" si="5"/>
        <v>0</v>
      </c>
      <c r="AT60" s="10">
        <f t="shared" si="6"/>
        <v>0</v>
      </c>
      <c r="AU60" s="10">
        <f t="shared" si="12"/>
        <v>0</v>
      </c>
      <c r="AV60" s="10">
        <f>'Tulumaks 2021-2024'!J60*0.0188*'Tulumaks 2021-2024'!J$85</f>
        <v>99846.426638841833</v>
      </c>
      <c r="AW60" s="10">
        <v>29</v>
      </c>
      <c r="AX60" s="10">
        <f t="shared" si="13"/>
        <v>32045.573361158167</v>
      </c>
      <c r="AY60" s="10">
        <f>SUM('Tulumaks 2021-2024'!H60:I60)</f>
        <v>2406730.89</v>
      </c>
      <c r="AZ60" s="10">
        <v>1350746</v>
      </c>
      <c r="BA60" s="10">
        <f t="shared" si="14"/>
        <v>10267.30142565005</v>
      </c>
      <c r="BB60" s="10">
        <v>5000</v>
      </c>
      <c r="BC60" s="10">
        <f t="shared" si="15"/>
        <v>93947</v>
      </c>
      <c r="BD60" s="10">
        <v>21818</v>
      </c>
      <c r="BE60" s="10">
        <f t="shared" si="16"/>
        <v>72129</v>
      </c>
      <c r="BF60" s="5"/>
      <c r="BG60" s="5"/>
      <c r="BH60" s="112"/>
      <c r="BI60" s="112"/>
      <c r="BL60" s="56"/>
      <c r="BM60" s="56"/>
    </row>
    <row r="61" spans="1:65" ht="15" x14ac:dyDescent="0.25">
      <c r="A61" s="23" t="s">
        <v>20</v>
      </c>
      <c r="B61" s="21" t="s">
        <v>101</v>
      </c>
      <c r="C61" s="21" t="s">
        <v>19</v>
      </c>
      <c r="D61" s="10">
        <f>'Tulumaks 2021-2024'!D61*0.025*'Tulumaks 2021-2024'!D$85</f>
        <v>4162.0002511680214</v>
      </c>
      <c r="E61" s="10">
        <f>'Tulumaks 2021-2024'!E61*0.025*'Tulumaks 2021-2024'!E$85</f>
        <v>4642.6385972983398</v>
      </c>
      <c r="F61" s="10">
        <f>'Tulumaks 2021-2024'!F61*0.025*'Tulumaks 2021-2024'!F$85</f>
        <v>4991.3576571701242</v>
      </c>
      <c r="G61" s="10">
        <v>175122.99832775918</v>
      </c>
      <c r="H61" s="10">
        <v>203970.16638795985</v>
      </c>
      <c r="I61" s="10">
        <f>'Tulumaks 2021-2024'!O61/11.96*11.89</f>
        <v>217102.85033444816</v>
      </c>
      <c r="J61" s="10">
        <v>2479.6995750000001</v>
      </c>
      <c r="K61" s="4">
        <f t="shared" si="7"/>
        <v>211967.64478217202</v>
      </c>
      <c r="L61" s="10">
        <v>7</v>
      </c>
      <c r="M61" s="10">
        <v>11</v>
      </c>
      <c r="N61" s="10">
        <v>6</v>
      </c>
      <c r="O61" s="10">
        <v>114</v>
      </c>
      <c r="P61" s="10">
        <v>33</v>
      </c>
      <c r="Q61" s="10">
        <v>29</v>
      </c>
      <c r="R61" s="10">
        <v>4</v>
      </c>
      <c r="S61" s="10">
        <f t="shared" si="8"/>
        <v>165</v>
      </c>
      <c r="T61" s="116">
        <v>2.1</v>
      </c>
      <c r="U61" s="10">
        <v>0</v>
      </c>
      <c r="V61" s="10">
        <v>0</v>
      </c>
      <c r="W61" s="10"/>
      <c r="X61" s="10"/>
      <c r="Y61" s="3">
        <f t="shared" si="9"/>
        <v>158362.96800022086</v>
      </c>
      <c r="Z61" s="10"/>
      <c r="AA61" s="12">
        <f t="shared" si="0"/>
        <v>0</v>
      </c>
      <c r="AB61" s="12">
        <v>0</v>
      </c>
      <c r="AC61" s="12">
        <f t="shared" si="1"/>
        <v>0</v>
      </c>
      <c r="AD61" s="12">
        <v>4</v>
      </c>
      <c r="AE61" s="12">
        <v>8</v>
      </c>
      <c r="AF61" s="12">
        <v>6</v>
      </c>
      <c r="AG61" s="12">
        <v>116</v>
      </c>
      <c r="AH61" s="12">
        <v>33</v>
      </c>
      <c r="AI61" s="12">
        <f t="shared" si="10"/>
        <v>161</v>
      </c>
      <c r="AJ61" s="12">
        <f t="shared" si="2"/>
        <v>145677.07461633146</v>
      </c>
      <c r="AK61" s="12">
        <f t="shared" si="3"/>
        <v>0</v>
      </c>
      <c r="AL61" s="12">
        <f t="shared" si="11"/>
        <v>0</v>
      </c>
      <c r="AM61" s="10">
        <f>S61</f>
        <v>165</v>
      </c>
      <c r="AN61" s="117">
        <f>SUMIF(AK$92:AK$108,C61,AN$92:AN$108)</f>
        <v>69.7</v>
      </c>
      <c r="AO61" s="12">
        <f>ROUND((AM61*M$100+AN61*M$101),0)+SUMIF(AK$92:AK$108,C61,AO$92:AO$108)</f>
        <v>106911.27197772911</v>
      </c>
      <c r="AP61" s="10">
        <v>0</v>
      </c>
      <c r="AQ61" s="10">
        <f t="shared" si="4"/>
        <v>0</v>
      </c>
      <c r="AR61" s="10"/>
      <c r="AS61" s="10">
        <f t="shared" si="5"/>
        <v>0</v>
      </c>
      <c r="AT61" s="10">
        <f t="shared" si="6"/>
        <v>0</v>
      </c>
      <c r="AU61" s="10">
        <f t="shared" si="12"/>
        <v>0</v>
      </c>
      <c r="AV61" s="10">
        <f>'Tulumaks 2021-2024'!J61*0.0188*'Tulumaks 2021-2024'!J$85</f>
        <v>4258.3501079424022</v>
      </c>
      <c r="AW61" s="10">
        <v>0</v>
      </c>
      <c r="AX61" s="106">
        <v>0</v>
      </c>
      <c r="AY61" s="10">
        <f>SUM('Tulumaks 2021-2024'!H61:I61)</f>
        <v>100612.24</v>
      </c>
      <c r="AZ61" s="10">
        <v>115600</v>
      </c>
      <c r="BA61" s="10">
        <f t="shared" si="14"/>
        <v>514.57108355582693</v>
      </c>
      <c r="BB61" s="10"/>
      <c r="BC61" s="10">
        <f t="shared" si="15"/>
        <v>107426</v>
      </c>
      <c r="BD61" s="10">
        <v>99293</v>
      </c>
      <c r="BE61" s="10">
        <f t="shared" si="16"/>
        <v>8133</v>
      </c>
      <c r="BF61" s="5"/>
      <c r="BG61" s="5"/>
      <c r="BH61" s="112"/>
      <c r="BI61" s="112"/>
      <c r="BL61" s="56"/>
      <c r="BM61" s="56"/>
    </row>
    <row r="62" spans="1:65" ht="15" x14ac:dyDescent="0.25">
      <c r="A62" s="23" t="s">
        <v>20</v>
      </c>
      <c r="B62" s="21" t="s">
        <v>223</v>
      </c>
      <c r="C62" s="21" t="s">
        <v>22</v>
      </c>
      <c r="D62" s="10">
        <f>'Tulumaks 2021-2024'!D62*0.025*'Tulumaks 2021-2024'!D$85</f>
        <v>1310913.1898318473</v>
      </c>
      <c r="E62" s="10">
        <f>'Tulumaks 2021-2024'!E62*0.025*'Tulumaks 2021-2024'!E$85</f>
        <v>1387226.6046594945</v>
      </c>
      <c r="F62" s="10">
        <f>'Tulumaks 2021-2024'!F62*0.025*'Tulumaks 2021-2024'!F$85</f>
        <v>1604776.2534710404</v>
      </c>
      <c r="G62" s="10">
        <v>27723702.240802672</v>
      </c>
      <c r="H62" s="10">
        <v>30713177.303511705</v>
      </c>
      <c r="I62" s="10">
        <f>'Tulumaks 2021-2024'!O62/11.96*11.89</f>
        <v>34691753.23244147</v>
      </c>
      <c r="J62" s="10">
        <v>1606928.4397484872</v>
      </c>
      <c r="K62" s="4">
        <f t="shared" si="7"/>
        <v>35192237.44128301</v>
      </c>
      <c r="L62" s="10">
        <v>2073</v>
      </c>
      <c r="M62" s="10">
        <v>3970</v>
      </c>
      <c r="N62" s="10">
        <v>2980</v>
      </c>
      <c r="O62" s="10">
        <v>19187</v>
      </c>
      <c r="P62" s="10">
        <v>6899</v>
      </c>
      <c r="Q62" s="10">
        <v>5938</v>
      </c>
      <c r="R62" s="10">
        <v>961</v>
      </c>
      <c r="S62" s="10">
        <f t="shared" si="8"/>
        <v>32129</v>
      </c>
      <c r="T62" s="116">
        <v>1.54</v>
      </c>
      <c r="U62" s="10">
        <v>242</v>
      </c>
      <c r="V62" s="10">
        <v>0</v>
      </c>
      <c r="W62" s="10">
        <v>12</v>
      </c>
      <c r="X62" s="10">
        <v>3</v>
      </c>
      <c r="Y62" s="3">
        <f t="shared" si="9"/>
        <v>37859997.852087349</v>
      </c>
      <c r="Z62" s="10"/>
      <c r="AA62" s="12">
        <f t="shared" si="0"/>
        <v>2400984</v>
      </c>
      <c r="AB62" s="12">
        <v>56363.270464628236</v>
      </c>
      <c r="AC62" s="12">
        <f t="shared" si="1"/>
        <v>2457347.270464628</v>
      </c>
      <c r="AD62" s="12">
        <v>2024</v>
      </c>
      <c r="AE62" s="12">
        <v>3599</v>
      </c>
      <c r="AF62" s="12">
        <v>2791</v>
      </c>
      <c r="AG62" s="12">
        <v>19348</v>
      </c>
      <c r="AH62" s="12">
        <v>6712</v>
      </c>
      <c r="AI62" s="12">
        <f t="shared" si="10"/>
        <v>31683</v>
      </c>
      <c r="AJ62" s="12">
        <f t="shared" si="2"/>
        <v>36918853.011093721</v>
      </c>
      <c r="AK62" s="12">
        <f t="shared" si="3"/>
        <v>1553954</v>
      </c>
      <c r="AL62" s="12">
        <f t="shared" si="11"/>
        <v>0</v>
      </c>
      <c r="AM62" s="10">
        <f>SUMIF(AK$92:AK$108,C62,AM$92:AM$108)</f>
        <v>93</v>
      </c>
      <c r="AN62" s="117">
        <f>SUMIF(AK$92:AK$108,C62,AN$92:AN$108)</f>
        <v>19</v>
      </c>
      <c r="AO62" s="12">
        <f>ROUND((AM62*M$100+AN62*M$101),0)+SUMIF(AK$92:AK$108,C62,AO$92:AO$108)</f>
        <v>87665.815933187288</v>
      </c>
      <c r="AP62" s="10">
        <v>16280</v>
      </c>
      <c r="AQ62" s="10">
        <f t="shared" si="4"/>
        <v>11640</v>
      </c>
      <c r="AR62" s="10">
        <v>31</v>
      </c>
      <c r="AS62" s="10">
        <f t="shared" si="5"/>
        <v>215760</v>
      </c>
      <c r="AT62" s="10">
        <f t="shared" si="6"/>
        <v>0</v>
      </c>
      <c r="AU62" s="10">
        <f t="shared" si="12"/>
        <v>0</v>
      </c>
      <c r="AV62" s="10">
        <f>'Tulumaks 2021-2024'!J62*0.0188*'Tulumaks 2021-2024'!J$85</f>
        <v>1369106.2836130655</v>
      </c>
      <c r="AW62" s="10">
        <v>334</v>
      </c>
      <c r="AX62" s="10">
        <f t="shared" si="13"/>
        <v>0</v>
      </c>
      <c r="AY62" s="10">
        <f>SUM('Tulumaks 2021-2024'!H62:I62)</f>
        <v>33054512.379999999</v>
      </c>
      <c r="AZ62" s="10">
        <v>17819774</v>
      </c>
      <c r="BA62" s="10">
        <f t="shared" si="14"/>
        <v>139957.09040601325</v>
      </c>
      <c r="BB62" s="10"/>
      <c r="BC62" s="10">
        <f t="shared" si="15"/>
        <v>2912370</v>
      </c>
      <c r="BD62" s="10">
        <v>2807936</v>
      </c>
      <c r="BE62" s="10">
        <f t="shared" si="16"/>
        <v>104434</v>
      </c>
      <c r="BF62" s="5"/>
      <c r="BG62" s="5"/>
      <c r="BH62" s="112"/>
      <c r="BI62" s="112"/>
      <c r="BL62" s="56"/>
      <c r="BM62" s="56"/>
    </row>
    <row r="63" spans="1:65" ht="15" x14ac:dyDescent="0.25">
      <c r="A63" s="20" t="s">
        <v>13</v>
      </c>
      <c r="B63" s="21" t="s">
        <v>224</v>
      </c>
      <c r="C63" s="21" t="s">
        <v>18</v>
      </c>
      <c r="D63" s="10">
        <f>'Tulumaks 2021-2024'!D63*0.025*'Tulumaks 2021-2024'!D$85</f>
        <v>586443.08469282137</v>
      </c>
      <c r="E63" s="10">
        <f>'Tulumaks 2021-2024'!E63*0.025*'Tulumaks 2021-2024'!E$85</f>
        <v>623077.84969387553</v>
      </c>
      <c r="F63" s="10">
        <f>'Tulumaks 2021-2024'!F63*0.025*'Tulumaks 2021-2024'!F$85</f>
        <v>723452.04042778537</v>
      </c>
      <c r="G63" s="10">
        <v>12622431.953177257</v>
      </c>
      <c r="H63" s="10">
        <v>14192349.377926422</v>
      </c>
      <c r="I63" s="10">
        <f>'Tulumaks 2021-2024'!O63/11.96*11.89</f>
        <v>15367799.152173914</v>
      </c>
      <c r="J63" s="10">
        <v>409192.81252499879</v>
      </c>
      <c r="K63" s="4">
        <f t="shared" si="7"/>
        <v>15541221.584685953</v>
      </c>
      <c r="L63" s="10">
        <v>1116</v>
      </c>
      <c r="M63" s="10">
        <v>2126</v>
      </c>
      <c r="N63" s="10">
        <v>1652</v>
      </c>
      <c r="O63" s="10">
        <v>8245</v>
      </c>
      <c r="P63" s="10">
        <v>3173</v>
      </c>
      <c r="Q63" s="10">
        <v>2669</v>
      </c>
      <c r="R63" s="10">
        <v>504</v>
      </c>
      <c r="S63" s="10">
        <f t="shared" si="8"/>
        <v>14660</v>
      </c>
      <c r="T63" s="116">
        <v>1.59</v>
      </c>
      <c r="U63" s="10">
        <v>260</v>
      </c>
      <c r="V63" s="10">
        <v>11</v>
      </c>
      <c r="W63" s="10">
        <v>14</v>
      </c>
      <c r="X63" s="10">
        <v>1</v>
      </c>
      <c r="Y63" s="3">
        <f t="shared" si="9"/>
        <v>19251906.436112709</v>
      </c>
      <c r="Z63" s="10"/>
      <c r="AA63" s="12">
        <f t="shared" si="0"/>
        <v>3339616</v>
      </c>
      <c r="AB63" s="12">
        <v>13541.462971240748</v>
      </c>
      <c r="AC63" s="12">
        <f t="shared" si="1"/>
        <v>3353157.4629712407</v>
      </c>
      <c r="AD63" s="12">
        <v>1121</v>
      </c>
      <c r="AE63" s="12">
        <v>1948</v>
      </c>
      <c r="AF63" s="12">
        <v>1492</v>
      </c>
      <c r="AG63" s="12">
        <v>8506</v>
      </c>
      <c r="AH63" s="12">
        <v>3116</v>
      </c>
      <c r="AI63" s="12">
        <f t="shared" si="10"/>
        <v>14691</v>
      </c>
      <c r="AJ63" s="12">
        <f t="shared" si="2"/>
        <v>18883710.398637749</v>
      </c>
      <c r="AK63" s="12">
        <f t="shared" si="3"/>
        <v>3008240</v>
      </c>
      <c r="AL63" s="12">
        <f t="shared" si="11"/>
        <v>0</v>
      </c>
      <c r="AM63" s="7"/>
      <c r="AN63" s="117"/>
      <c r="AO63" s="7"/>
      <c r="AP63" s="10">
        <v>0</v>
      </c>
      <c r="AQ63" s="10">
        <f t="shared" si="4"/>
        <v>0</v>
      </c>
      <c r="AR63" s="10"/>
      <c r="AS63" s="10">
        <f t="shared" si="5"/>
        <v>0</v>
      </c>
      <c r="AT63" s="10">
        <f t="shared" si="6"/>
        <v>0</v>
      </c>
      <c r="AU63" s="10">
        <f t="shared" si="12"/>
        <v>0</v>
      </c>
      <c r="AV63" s="10">
        <f>'Tulumaks 2021-2024'!J63*0.0188*'Tulumaks 2021-2024'!J$85</f>
        <v>617209.24166220438</v>
      </c>
      <c r="AW63" s="10">
        <v>138</v>
      </c>
      <c r="AX63" s="10">
        <f t="shared" si="13"/>
        <v>10414.758337795618</v>
      </c>
      <c r="AY63" s="10">
        <f>SUM('Tulumaks 2021-2024'!H63:I63)</f>
        <v>14900419.720000001</v>
      </c>
      <c r="AZ63" s="10">
        <v>7856759</v>
      </c>
      <c r="BA63" s="10">
        <f t="shared" si="14"/>
        <v>62836.133562499395</v>
      </c>
      <c r="BB63" s="10"/>
      <c r="BC63" s="10">
        <f t="shared" si="15"/>
        <v>3426408</v>
      </c>
      <c r="BD63" s="10">
        <v>2882626</v>
      </c>
      <c r="BE63" s="10">
        <f t="shared" si="16"/>
        <v>543782</v>
      </c>
      <c r="BF63" s="5"/>
      <c r="BG63" s="5"/>
      <c r="BH63" s="112"/>
      <c r="BI63" s="112"/>
      <c r="BL63" s="56"/>
      <c r="BM63" s="56"/>
    </row>
    <row r="64" spans="1:65" ht="15" x14ac:dyDescent="0.25">
      <c r="A64" s="20" t="s">
        <v>13</v>
      </c>
      <c r="B64" s="21" t="s">
        <v>100</v>
      </c>
      <c r="C64" s="21" t="s">
        <v>12</v>
      </c>
      <c r="D64" s="10">
        <f>'Tulumaks 2021-2024'!D64*0.025*'Tulumaks 2021-2024'!D$85</f>
        <v>280814.46259971865</v>
      </c>
      <c r="E64" s="10">
        <f>'Tulumaks 2021-2024'!E64*0.025*'Tulumaks 2021-2024'!E$85</f>
        <v>308206.23547734675</v>
      </c>
      <c r="F64" s="10">
        <f>'Tulumaks 2021-2024'!F64*0.025*'Tulumaks 2021-2024'!F$85</f>
        <v>368799.60618649074</v>
      </c>
      <c r="G64" s="10">
        <v>14558521.612040134</v>
      </c>
      <c r="H64" s="10">
        <v>17211177.629598662</v>
      </c>
      <c r="I64" s="10">
        <f>'Tulumaks 2021-2024'!O64/11.96*11.89</f>
        <v>19927661.871237457</v>
      </c>
      <c r="J64" s="10">
        <v>281576.03407500032</v>
      </c>
      <c r="K64" s="4">
        <f t="shared" si="7"/>
        <v>18653489.147237748</v>
      </c>
      <c r="L64" s="10">
        <v>1595</v>
      </c>
      <c r="M64" s="10">
        <v>2354</v>
      </c>
      <c r="N64" s="10">
        <v>1872</v>
      </c>
      <c r="O64" s="10">
        <v>8237</v>
      </c>
      <c r="P64" s="10">
        <v>1589</v>
      </c>
      <c r="Q64" s="10">
        <v>1393</v>
      </c>
      <c r="R64" s="10">
        <v>196</v>
      </c>
      <c r="S64" s="10">
        <f t="shared" si="8"/>
        <v>13775</v>
      </c>
      <c r="T64" s="116">
        <v>1.45</v>
      </c>
      <c r="U64" s="10">
        <v>309</v>
      </c>
      <c r="V64" s="10">
        <v>6</v>
      </c>
      <c r="W64" s="10">
        <v>0</v>
      </c>
      <c r="X64" s="10">
        <v>1</v>
      </c>
      <c r="Y64" s="3">
        <f t="shared" si="9"/>
        <v>19506509.90478646</v>
      </c>
      <c r="Z64" s="10"/>
      <c r="AA64" s="12">
        <f t="shared" si="0"/>
        <v>767719</v>
      </c>
      <c r="AB64" s="12">
        <v>0</v>
      </c>
      <c r="AC64" s="12">
        <f t="shared" si="1"/>
        <v>767719</v>
      </c>
      <c r="AD64" s="12">
        <v>1200</v>
      </c>
      <c r="AE64" s="12">
        <v>1811</v>
      </c>
      <c r="AF64" s="12">
        <v>1444</v>
      </c>
      <c r="AG64" s="12">
        <v>6769</v>
      </c>
      <c r="AH64" s="12">
        <v>1307</v>
      </c>
      <c r="AI64" s="12">
        <f t="shared" si="10"/>
        <v>11087</v>
      </c>
      <c r="AJ64" s="12">
        <f t="shared" si="2"/>
        <v>15476777.248048313</v>
      </c>
      <c r="AK64" s="12">
        <f t="shared" si="3"/>
        <v>0</v>
      </c>
      <c r="AL64" s="12">
        <f t="shared" si="11"/>
        <v>0</v>
      </c>
      <c r="AM64" s="7"/>
      <c r="AN64" s="117"/>
      <c r="AO64" s="7"/>
      <c r="AP64" s="10">
        <v>0</v>
      </c>
      <c r="AQ64" s="10">
        <f t="shared" si="4"/>
        <v>0</v>
      </c>
      <c r="AR64" s="10">
        <v>2</v>
      </c>
      <c r="AS64" s="10">
        <f t="shared" si="5"/>
        <v>13920</v>
      </c>
      <c r="AT64" s="10">
        <f t="shared" si="6"/>
        <v>0</v>
      </c>
      <c r="AU64" s="10">
        <f t="shared" si="12"/>
        <v>0</v>
      </c>
      <c r="AV64" s="10">
        <f>'Tulumaks 2021-2024'!J64*0.0188*'Tulumaks 2021-2024'!J$85</f>
        <v>314639.41289748182</v>
      </c>
      <c r="AW64" s="10">
        <v>68</v>
      </c>
      <c r="AX64" s="10">
        <f t="shared" si="13"/>
        <v>0</v>
      </c>
      <c r="AY64" s="10">
        <f>SUM('Tulumaks 2021-2024'!H64:I64)</f>
        <v>7641895.8699999992</v>
      </c>
      <c r="AZ64" s="10">
        <v>10301494</v>
      </c>
      <c r="BA64" s="10">
        <f t="shared" si="14"/>
        <v>41279.409024358793</v>
      </c>
      <c r="BB64" s="10"/>
      <c r="BC64" s="10">
        <f t="shared" si="15"/>
        <v>822918</v>
      </c>
      <c r="BD64" s="10">
        <v>1373780</v>
      </c>
      <c r="BE64" s="10">
        <f t="shared" si="16"/>
        <v>-550862</v>
      </c>
      <c r="BF64" s="5"/>
      <c r="BG64" s="5"/>
      <c r="BH64" s="112"/>
      <c r="BI64" s="112"/>
      <c r="BL64" s="56"/>
      <c r="BM64" s="56"/>
    </row>
    <row r="65" spans="1:65" ht="15" x14ac:dyDescent="0.25">
      <c r="A65" s="20" t="s">
        <v>13</v>
      </c>
      <c r="B65" s="21" t="s">
        <v>225</v>
      </c>
      <c r="C65" s="21" t="s">
        <v>16</v>
      </c>
      <c r="D65" s="10">
        <f>'Tulumaks 2021-2024'!D65*0.025*'Tulumaks 2021-2024'!D$85</f>
        <v>168950.38695116446</v>
      </c>
      <c r="E65" s="10">
        <f>'Tulumaks 2021-2024'!E65*0.025*'Tulumaks 2021-2024'!E$85</f>
        <v>183095.85401497129</v>
      </c>
      <c r="F65" s="10">
        <f>'Tulumaks 2021-2024'!F65*0.025*'Tulumaks 2021-2024'!F$85</f>
        <v>215424.47744427525</v>
      </c>
      <c r="G65" s="10">
        <v>5397829.3578595314</v>
      </c>
      <c r="H65" s="10">
        <v>6414267.2826086953</v>
      </c>
      <c r="I65" s="10">
        <f>'Tulumaks 2021-2024'!O65/11.96*11.89</f>
        <v>7450318.7366220737</v>
      </c>
      <c r="J65" s="10">
        <v>205770.42394999985</v>
      </c>
      <c r="K65" s="4">
        <f t="shared" si="7"/>
        <v>7131206.9209324131</v>
      </c>
      <c r="L65" s="10">
        <v>705</v>
      </c>
      <c r="M65" s="10">
        <v>834</v>
      </c>
      <c r="N65" s="10">
        <v>646</v>
      </c>
      <c r="O65" s="10">
        <v>3820</v>
      </c>
      <c r="P65" s="10">
        <v>940</v>
      </c>
      <c r="Q65" s="10">
        <v>811</v>
      </c>
      <c r="R65" s="10">
        <v>129</v>
      </c>
      <c r="S65" s="10">
        <f t="shared" si="8"/>
        <v>6299</v>
      </c>
      <c r="T65" s="116">
        <v>2.08</v>
      </c>
      <c r="U65" s="10">
        <v>112</v>
      </c>
      <c r="V65" s="10">
        <v>3</v>
      </c>
      <c r="W65" s="10">
        <v>6</v>
      </c>
      <c r="X65" s="10">
        <v>1</v>
      </c>
      <c r="Y65" s="3">
        <f t="shared" si="9"/>
        <v>9142838.8301409744</v>
      </c>
      <c r="Z65" s="10"/>
      <c r="AA65" s="12">
        <f t="shared" si="0"/>
        <v>1810469</v>
      </c>
      <c r="AB65" s="12">
        <v>0</v>
      </c>
      <c r="AC65" s="12">
        <f t="shared" si="1"/>
        <v>1810469</v>
      </c>
      <c r="AD65" s="12">
        <v>405</v>
      </c>
      <c r="AE65" s="12">
        <v>674</v>
      </c>
      <c r="AF65" s="12">
        <v>534</v>
      </c>
      <c r="AG65" s="12">
        <v>3333</v>
      </c>
      <c r="AH65" s="12">
        <v>840</v>
      </c>
      <c r="AI65" s="12">
        <f t="shared" si="10"/>
        <v>5252</v>
      </c>
      <c r="AJ65" s="12">
        <f t="shared" si="2"/>
        <v>7117691.2822019532</v>
      </c>
      <c r="AK65" s="12">
        <f t="shared" si="3"/>
        <v>0</v>
      </c>
      <c r="AL65" s="12">
        <f t="shared" si="11"/>
        <v>0</v>
      </c>
      <c r="AM65" s="7"/>
      <c r="AN65" s="117"/>
      <c r="AO65" s="7"/>
      <c r="AP65" s="10">
        <v>969</v>
      </c>
      <c r="AQ65" s="10">
        <f t="shared" si="4"/>
        <v>693</v>
      </c>
      <c r="AR65" s="10"/>
      <c r="AS65" s="10">
        <f t="shared" si="5"/>
        <v>0</v>
      </c>
      <c r="AT65" s="10">
        <f t="shared" si="6"/>
        <v>0</v>
      </c>
      <c r="AU65" s="10">
        <f t="shared" si="12"/>
        <v>0</v>
      </c>
      <c r="AV65" s="10">
        <f>'Tulumaks 2021-2024'!J65*0.0188*'Tulumaks 2021-2024'!J$85</f>
        <v>183788.24155397489</v>
      </c>
      <c r="AW65" s="10">
        <v>42</v>
      </c>
      <c r="AX65" s="10">
        <f t="shared" si="13"/>
        <v>7227.7584460251092</v>
      </c>
      <c r="AY65" s="10">
        <f>SUM('Tulumaks 2021-2024'!H65:I65)</f>
        <v>4448449.29</v>
      </c>
      <c r="AZ65" s="10">
        <v>3875067</v>
      </c>
      <c r="BA65" s="10">
        <f t="shared" si="14"/>
        <v>20967.045283652202</v>
      </c>
      <c r="BB65" s="10"/>
      <c r="BC65" s="10">
        <f t="shared" si="15"/>
        <v>1839357</v>
      </c>
      <c r="BD65" s="10">
        <v>1597415</v>
      </c>
      <c r="BE65" s="10">
        <f t="shared" si="16"/>
        <v>241942</v>
      </c>
      <c r="BF65" s="5"/>
      <c r="BG65" s="5"/>
      <c r="BH65" s="112"/>
      <c r="BI65" s="112"/>
      <c r="BL65" s="56"/>
      <c r="BM65" s="56"/>
    </row>
    <row r="66" spans="1:65" ht="15" x14ac:dyDescent="0.25">
      <c r="A66" s="20" t="s">
        <v>13</v>
      </c>
      <c r="B66" s="21" t="s">
        <v>99</v>
      </c>
      <c r="C66" s="21" t="s">
        <v>14</v>
      </c>
      <c r="D66" s="10">
        <f>'Tulumaks 2021-2024'!D66*0.025*'Tulumaks 2021-2024'!D$85</f>
        <v>116099.29172982134</v>
      </c>
      <c r="E66" s="10">
        <f>'Tulumaks 2021-2024'!E66*0.025*'Tulumaks 2021-2024'!E$85</f>
        <v>126274.23520104357</v>
      </c>
      <c r="F66" s="10">
        <f>'Tulumaks 2021-2024'!F66*0.025*'Tulumaks 2021-2024'!F$85</f>
        <v>151528.35337986774</v>
      </c>
      <c r="G66" s="10">
        <v>5927108.3336120397</v>
      </c>
      <c r="H66" s="10">
        <v>6961373.3051839462</v>
      </c>
      <c r="I66" s="10">
        <f>'Tulumaks 2021-2024'!O66/11.96*11.89</f>
        <v>8199689.9632107019</v>
      </c>
      <c r="J66" s="10">
        <v>94735.722999999998</v>
      </c>
      <c r="K66" s="4">
        <f t="shared" si="7"/>
        <v>7605280.6684791548</v>
      </c>
      <c r="L66" s="10">
        <v>611</v>
      </c>
      <c r="M66" s="10">
        <v>935</v>
      </c>
      <c r="N66" s="10">
        <v>719</v>
      </c>
      <c r="O66" s="10">
        <v>3704</v>
      </c>
      <c r="P66" s="10">
        <v>635</v>
      </c>
      <c r="Q66" s="10">
        <v>550</v>
      </c>
      <c r="R66" s="10">
        <v>85</v>
      </c>
      <c r="S66" s="10">
        <f t="shared" si="8"/>
        <v>5885</v>
      </c>
      <c r="T66" s="116">
        <v>1.55</v>
      </c>
      <c r="U66" s="10">
        <v>157</v>
      </c>
      <c r="V66" s="10">
        <v>5</v>
      </c>
      <c r="W66" s="10">
        <v>1</v>
      </c>
      <c r="X66" s="10">
        <v>0</v>
      </c>
      <c r="Y66" s="3">
        <f t="shared" si="9"/>
        <v>8081857.0877200533</v>
      </c>
      <c r="Z66" s="10"/>
      <c r="AA66" s="12">
        <f t="shared" si="0"/>
        <v>428919</v>
      </c>
      <c r="AB66" s="12">
        <v>0</v>
      </c>
      <c r="AC66" s="12">
        <f t="shared" si="1"/>
        <v>428919</v>
      </c>
      <c r="AD66" s="12">
        <v>504</v>
      </c>
      <c r="AE66" s="12">
        <v>739</v>
      </c>
      <c r="AF66" s="12">
        <v>586</v>
      </c>
      <c r="AG66" s="12">
        <v>3037</v>
      </c>
      <c r="AH66" s="12">
        <v>520</v>
      </c>
      <c r="AI66" s="12">
        <f t="shared" si="10"/>
        <v>4800</v>
      </c>
      <c r="AJ66" s="12">
        <f t="shared" si="2"/>
        <v>6704559.5157697499</v>
      </c>
      <c r="AK66" s="12">
        <f t="shared" si="3"/>
        <v>0</v>
      </c>
      <c r="AL66" s="12">
        <f t="shared" si="11"/>
        <v>0</v>
      </c>
      <c r="AM66" s="7"/>
      <c r="AN66" s="117"/>
      <c r="AO66" s="7"/>
      <c r="AP66" s="10">
        <v>2329</v>
      </c>
      <c r="AQ66" s="10">
        <f t="shared" si="4"/>
        <v>1665</v>
      </c>
      <c r="AR66" s="10"/>
      <c r="AS66" s="10">
        <f t="shared" si="5"/>
        <v>0</v>
      </c>
      <c r="AT66" s="10">
        <f t="shared" si="6"/>
        <v>0</v>
      </c>
      <c r="AU66" s="10">
        <f t="shared" si="12"/>
        <v>0</v>
      </c>
      <c r="AV66" s="10">
        <f>'Tulumaks 2021-2024'!J66*0.0188*'Tulumaks 2021-2024'!J$85</f>
        <v>129275.6048135665</v>
      </c>
      <c r="AW66" s="10">
        <v>24</v>
      </c>
      <c r="AX66" s="10">
        <f t="shared" si="13"/>
        <v>0</v>
      </c>
      <c r="AY66" s="10">
        <f>SUM('Tulumaks 2021-2024'!H66:I66)</f>
        <v>3121827.3000000003</v>
      </c>
      <c r="AZ66" s="10">
        <v>4195792</v>
      </c>
      <c r="BA66" s="10">
        <f t="shared" si="14"/>
        <v>16845.176298027774</v>
      </c>
      <c r="BB66" s="10"/>
      <c r="BC66" s="10">
        <f t="shared" si="15"/>
        <v>447429</v>
      </c>
      <c r="BD66" s="10">
        <v>681753</v>
      </c>
      <c r="BE66" s="10">
        <f t="shared" si="16"/>
        <v>-234324</v>
      </c>
      <c r="BF66" s="5"/>
      <c r="BG66" s="5"/>
      <c r="BH66" s="112"/>
      <c r="BI66" s="112"/>
      <c r="BL66" s="56"/>
      <c r="BM66" s="56"/>
    </row>
    <row r="67" spans="1:65" ht="15" x14ac:dyDescent="0.25">
      <c r="A67" s="20" t="s">
        <v>13</v>
      </c>
      <c r="B67" s="21" t="s">
        <v>98</v>
      </c>
      <c r="C67" s="21" t="s">
        <v>17</v>
      </c>
      <c r="D67" s="10">
        <f>'Tulumaks 2021-2024'!D67*0.025*'Tulumaks 2021-2024'!D$85</f>
        <v>140671.79756898436</v>
      </c>
      <c r="E67" s="10">
        <f>'Tulumaks 2021-2024'!E67*0.025*'Tulumaks 2021-2024'!E$85</f>
        <v>151739.59718730499</v>
      </c>
      <c r="F67" s="10">
        <f>'Tulumaks 2021-2024'!F67*0.025*'Tulumaks 2021-2024'!F$85</f>
        <v>178344.93449317385</v>
      </c>
      <c r="G67" s="10">
        <v>4392191.8478260869</v>
      </c>
      <c r="H67" s="10">
        <v>4861899.537625418</v>
      </c>
      <c r="I67" s="10">
        <f>'Tulumaks 2021-2024'!O67/11.96*11.89</f>
        <v>5457020.8795986623</v>
      </c>
      <c r="J67" s="10">
        <v>123610.20122500001</v>
      </c>
      <c r="K67" s="4">
        <f t="shared" si="7"/>
        <v>5351957.57779375</v>
      </c>
      <c r="L67" s="10">
        <v>392</v>
      </c>
      <c r="M67" s="10">
        <v>702</v>
      </c>
      <c r="N67" s="10">
        <v>548</v>
      </c>
      <c r="O67" s="10">
        <v>2646</v>
      </c>
      <c r="P67" s="10">
        <v>768</v>
      </c>
      <c r="Q67" s="10">
        <v>660</v>
      </c>
      <c r="R67" s="10">
        <v>108</v>
      </c>
      <c r="S67" s="10">
        <f t="shared" si="8"/>
        <v>4508</v>
      </c>
      <c r="T67" s="116">
        <v>1.8</v>
      </c>
      <c r="U67" s="10">
        <v>61</v>
      </c>
      <c r="V67" s="10">
        <v>0</v>
      </c>
      <c r="W67" s="10">
        <v>6</v>
      </c>
      <c r="X67" s="10">
        <v>0</v>
      </c>
      <c r="Y67" s="3">
        <f t="shared" si="9"/>
        <v>6229843.7661071196</v>
      </c>
      <c r="Z67" s="10"/>
      <c r="AA67" s="12">
        <f t="shared" si="0"/>
        <v>790098</v>
      </c>
      <c r="AB67" s="12">
        <v>0</v>
      </c>
      <c r="AC67" s="12">
        <f t="shared" si="1"/>
        <v>790098</v>
      </c>
      <c r="AD67" s="12">
        <v>355</v>
      </c>
      <c r="AE67" s="12">
        <v>651</v>
      </c>
      <c r="AF67" s="12">
        <v>502</v>
      </c>
      <c r="AG67" s="12">
        <v>2616</v>
      </c>
      <c r="AH67" s="12">
        <v>723</v>
      </c>
      <c r="AI67" s="12">
        <f t="shared" si="10"/>
        <v>4345</v>
      </c>
      <c r="AJ67" s="12">
        <f t="shared" si="2"/>
        <v>5869083.2799844975</v>
      </c>
      <c r="AK67" s="12">
        <f t="shared" si="3"/>
        <v>465413</v>
      </c>
      <c r="AL67" s="12">
        <f t="shared" si="11"/>
        <v>0</v>
      </c>
      <c r="AM67" s="7"/>
      <c r="AN67" s="117"/>
      <c r="AO67" s="7"/>
      <c r="AP67" s="10">
        <v>187</v>
      </c>
      <c r="AQ67" s="10">
        <f t="shared" si="4"/>
        <v>134</v>
      </c>
      <c r="AR67" s="10"/>
      <c r="AS67" s="10">
        <f t="shared" si="5"/>
        <v>0</v>
      </c>
      <c r="AT67" s="10">
        <f t="shared" si="6"/>
        <v>0</v>
      </c>
      <c r="AU67" s="10">
        <f t="shared" si="12"/>
        <v>0</v>
      </c>
      <c r="AV67" s="10">
        <f>'Tulumaks 2021-2024'!J67*0.0188*'Tulumaks 2021-2024'!J$85</f>
        <v>152154.02766400116</v>
      </c>
      <c r="AW67" s="10">
        <v>23</v>
      </c>
      <c r="AX67" s="10">
        <f t="shared" si="13"/>
        <v>0</v>
      </c>
      <c r="AY67" s="10">
        <f>SUM('Tulumaks 2021-2024'!H67:I67)</f>
        <v>3698093.19</v>
      </c>
      <c r="AZ67" s="10">
        <v>2803496</v>
      </c>
      <c r="BA67" s="10">
        <f t="shared" si="14"/>
        <v>16827.125413736918</v>
      </c>
      <c r="BB67" s="10"/>
      <c r="BC67" s="10">
        <f t="shared" si="15"/>
        <v>807059</v>
      </c>
      <c r="BD67" s="10">
        <v>631146</v>
      </c>
      <c r="BE67" s="10">
        <f t="shared" si="16"/>
        <v>175913</v>
      </c>
      <c r="BF67" s="5"/>
      <c r="BG67" s="5"/>
      <c r="BH67" s="112"/>
      <c r="BI67" s="112"/>
      <c r="BL67" s="56"/>
      <c r="BM67" s="56"/>
    </row>
    <row r="68" spans="1:65" ht="15" x14ac:dyDescent="0.25">
      <c r="A68" s="20" t="s">
        <v>13</v>
      </c>
      <c r="B68" s="21" t="s">
        <v>97</v>
      </c>
      <c r="C68" s="21" t="s">
        <v>150</v>
      </c>
      <c r="D68" s="10">
        <f>'Tulumaks 2021-2024'!D68*0.025*'Tulumaks 2021-2024'!D$85</f>
        <v>232318.28350653706</v>
      </c>
      <c r="E68" s="10">
        <f>'Tulumaks 2021-2024'!E68*0.025*'Tulumaks 2021-2024'!E$85</f>
        <v>244972.83917499153</v>
      </c>
      <c r="F68" s="10">
        <f>'Tulumaks 2021-2024'!F68*0.025*'Tulumaks 2021-2024'!F$85</f>
        <v>281577.24757503043</v>
      </c>
      <c r="G68" s="10">
        <v>4005919.9464882943</v>
      </c>
      <c r="H68" s="10">
        <v>4391159.923076923</v>
      </c>
      <c r="I68" s="10">
        <f>'Tulumaks 2021-2024'!O68/11.96*11.89</f>
        <v>4864064.7901337789</v>
      </c>
      <c r="J68" s="10">
        <v>318132.8332499995</v>
      </c>
      <c r="K68" s="4">
        <f t="shared" si="7"/>
        <v>5129441.3267789446</v>
      </c>
      <c r="L68" s="10">
        <v>330</v>
      </c>
      <c r="M68" s="10">
        <v>570</v>
      </c>
      <c r="N68" s="10">
        <v>426</v>
      </c>
      <c r="O68" s="10">
        <v>3118</v>
      </c>
      <c r="P68" s="10">
        <v>1316</v>
      </c>
      <c r="Q68" s="10">
        <v>1116</v>
      </c>
      <c r="R68" s="10">
        <v>200</v>
      </c>
      <c r="S68" s="10">
        <f t="shared" si="8"/>
        <v>5334</v>
      </c>
      <c r="T68" s="116">
        <v>2.08</v>
      </c>
      <c r="U68" s="10">
        <v>64</v>
      </c>
      <c r="V68" s="10">
        <v>2</v>
      </c>
      <c r="W68" s="10">
        <v>5</v>
      </c>
      <c r="X68" s="10">
        <v>1</v>
      </c>
      <c r="Y68" s="3">
        <f t="shared" si="9"/>
        <v>6622403.173762979</v>
      </c>
      <c r="Z68" s="10"/>
      <c r="AA68" s="12">
        <f t="shared" ref="AA68:AA82" si="17">ROUND(IF((Y68-K68)&lt;0,0,Y68-K68)*AA$84,0)</f>
        <v>1343666</v>
      </c>
      <c r="AB68" s="12">
        <v>0</v>
      </c>
      <c r="AC68" s="12">
        <f t="shared" ref="AC68:AC82" si="18">AA68+AB68</f>
        <v>1343666</v>
      </c>
      <c r="AD68" s="12">
        <v>293</v>
      </c>
      <c r="AE68" s="12">
        <v>591</v>
      </c>
      <c r="AF68" s="12">
        <v>420</v>
      </c>
      <c r="AG68" s="12">
        <v>3428</v>
      </c>
      <c r="AH68" s="12">
        <v>1319</v>
      </c>
      <c r="AI68" s="12">
        <f t="shared" si="10"/>
        <v>5631</v>
      </c>
      <c r="AJ68" s="12">
        <f t="shared" ref="AJ68:AJ82" si="19">AD68*M$87+AE68*M$88+AG68*M$92+AH68*M$93+AF68*(($T68-1)*0.75+1)*M$89+$U68*M$91*(($T68-1)*0.75+1)+M$90*AF68*T68+V68*M$98+Q68*M$94+R68*M$95+W68*M$99+X68*0.5*M$99</f>
        <v>6663797.2868827907</v>
      </c>
      <c r="AK68" s="12">
        <f t="shared" ref="AK68:AK82" si="20">ROUND(IF((AJ68-K68)&lt;0,0,AJ68-K68)*AA$84,0)</f>
        <v>1380920</v>
      </c>
      <c r="AL68" s="12">
        <f t="shared" si="11"/>
        <v>7450.8</v>
      </c>
      <c r="AM68" s="7"/>
      <c r="AN68" s="117"/>
      <c r="AO68" s="7"/>
      <c r="AP68" s="10">
        <v>0</v>
      </c>
      <c r="AQ68" s="10">
        <f t="shared" ref="AQ68:AQ82" si="21">ROUND(AP68*AQ$84,0)</f>
        <v>0</v>
      </c>
      <c r="AR68" s="10"/>
      <c r="AS68" s="10">
        <f t="shared" ref="AS68:AS82" si="22">AR68*M$103</f>
        <v>0</v>
      </c>
      <c r="AT68" s="10">
        <f t="shared" ref="AT68:AT82" si="23">(Q68+R68*4.85)/(Q$83+R$83*4.85)*AT$84</f>
        <v>0</v>
      </c>
      <c r="AU68" s="10">
        <f t="shared" si="12"/>
        <v>0</v>
      </c>
      <c r="AV68" s="10">
        <f>'Tulumaks 2021-2024'!J68*0.0188*'Tulumaks 2021-2024'!J$85</f>
        <v>240226.12382480822</v>
      </c>
      <c r="AW68" s="10">
        <v>69</v>
      </c>
      <c r="AX68" s="10">
        <f t="shared" si="13"/>
        <v>73585.876175191777</v>
      </c>
      <c r="AY68" s="10">
        <f>SUM('Tulumaks 2021-2024'!H68:I68)</f>
        <v>5774989.0699999994</v>
      </c>
      <c r="AZ68" s="10">
        <v>2569497</v>
      </c>
      <c r="BA68" s="10">
        <f t="shared" si="14"/>
        <v>23667.116809495452</v>
      </c>
      <c r="BB68" s="10"/>
      <c r="BC68" s="10">
        <f t="shared" si="15"/>
        <v>1448370</v>
      </c>
      <c r="BD68" s="10">
        <v>1075363</v>
      </c>
      <c r="BE68" s="10">
        <f t="shared" si="16"/>
        <v>373007</v>
      </c>
      <c r="BF68" s="5"/>
      <c r="BG68" s="5"/>
      <c r="BH68" s="112"/>
      <c r="BI68" s="112"/>
      <c r="BL68" s="56"/>
      <c r="BM68" s="56"/>
    </row>
    <row r="69" spans="1:65" ht="15" x14ac:dyDescent="0.25">
      <c r="A69" s="20" t="s">
        <v>13</v>
      </c>
      <c r="B69" s="21" t="s">
        <v>96</v>
      </c>
      <c r="C69" s="21" t="s">
        <v>13</v>
      </c>
      <c r="D69" s="10">
        <f>'Tulumaks 2021-2024'!D69*0.025*'Tulumaks 2021-2024'!D$85</f>
        <v>310646.79374322883</v>
      </c>
      <c r="E69" s="10">
        <f>'Tulumaks 2021-2024'!E69*0.025*'Tulumaks 2021-2024'!E$85</f>
        <v>332790.40227716492</v>
      </c>
      <c r="F69" s="10">
        <f>'Tulumaks 2021-2024'!F69*0.025*'Tulumaks 2021-2024'!F$85</f>
        <v>398702.16286536283</v>
      </c>
      <c r="G69" s="10">
        <v>12455188.565217391</v>
      </c>
      <c r="H69" s="10">
        <v>14660183.100334447</v>
      </c>
      <c r="I69" s="10">
        <f>'Tulumaks 2021-2024'!O69/11.96*11.89</f>
        <v>17306667.452341136</v>
      </c>
      <c r="J69" s="10">
        <v>380507.13809166639</v>
      </c>
      <c r="K69" s="4">
        <f t="shared" ref="K69:K82" si="24">0.2*(D69+G69)+0.3*(E69+H69)+0.5*(F69+I69)+J69</f>
        <v>16284251.068270523</v>
      </c>
      <c r="L69" s="10">
        <v>1399</v>
      </c>
      <c r="M69" s="10">
        <v>2031</v>
      </c>
      <c r="N69" s="10">
        <v>1572</v>
      </c>
      <c r="O69" s="10">
        <v>8012</v>
      </c>
      <c r="P69" s="10">
        <v>1784</v>
      </c>
      <c r="Q69" s="10">
        <v>1549</v>
      </c>
      <c r="R69" s="10">
        <v>235</v>
      </c>
      <c r="S69" s="10">
        <f t="shared" ref="S69:S82" si="25">L69+M69+O69+P69</f>
        <v>13226</v>
      </c>
      <c r="T69" s="116">
        <v>1.91</v>
      </c>
      <c r="U69" s="10">
        <v>248</v>
      </c>
      <c r="V69" s="10">
        <v>7</v>
      </c>
      <c r="W69" s="10">
        <v>3</v>
      </c>
      <c r="X69" s="10">
        <v>0</v>
      </c>
      <c r="Y69" s="3">
        <f t="shared" ref="Y69:Y82" si="26">L69*M$87+M69*M$88+O69*M$92+P69*M$93+N69*(($T69-1)*0.75+1)*M$89+$U69*M$91*(($T69-1)*0.75+1)+M$90*N69*T69+V69*M$98+Q69*M$94+R69*M$95+W69*M$99+X69*0.5*M$99</f>
        <v>18892060.343476608</v>
      </c>
      <c r="Z69" s="10"/>
      <c r="AA69" s="12">
        <f t="shared" si="17"/>
        <v>2347028</v>
      </c>
      <c r="AB69" s="12">
        <v>0</v>
      </c>
      <c r="AC69" s="12">
        <f t="shared" si="18"/>
        <v>2347028</v>
      </c>
      <c r="AD69" s="12">
        <v>1082</v>
      </c>
      <c r="AE69" s="12">
        <v>1518</v>
      </c>
      <c r="AF69" s="12">
        <v>1220</v>
      </c>
      <c r="AG69" s="12">
        <v>6781</v>
      </c>
      <c r="AH69" s="12">
        <v>1560</v>
      </c>
      <c r="AI69" s="12">
        <f t="shared" ref="AI69:AI82" si="27">AD69+AE69+AG69+AH69</f>
        <v>10941</v>
      </c>
      <c r="AJ69" s="12">
        <f t="shared" si="19"/>
        <v>15356181.956332766</v>
      </c>
      <c r="AK69" s="12">
        <f t="shared" si="20"/>
        <v>0</v>
      </c>
      <c r="AL69" s="12">
        <f t="shared" ref="AL69:AL82" si="28">IF(AK69&gt;AA69,(AK69-AA69)*AL$84,0)</f>
        <v>0</v>
      </c>
      <c r="AM69" s="10">
        <f>SUMIF(AK$92:AK$108,C69,AM$92:AM$108)</f>
        <v>91</v>
      </c>
      <c r="AN69" s="117">
        <f>SUMIF(AK$92:AK$108,C69,AN$92:AN$108)</f>
        <v>8.5</v>
      </c>
      <c r="AO69" s="12">
        <f>ROUND((AM69*M$100+AN69*M$101),0)+SUMIF(AK$92:AK$108,C69,AO$92:AO$108)</f>
        <v>45799.271977729099</v>
      </c>
      <c r="AP69" s="10">
        <v>14791</v>
      </c>
      <c r="AQ69" s="10">
        <f t="shared" si="21"/>
        <v>10576</v>
      </c>
      <c r="AR69" s="10"/>
      <c r="AS69" s="10">
        <f t="shared" si="22"/>
        <v>0</v>
      </c>
      <c r="AT69" s="10">
        <f t="shared" si="23"/>
        <v>0</v>
      </c>
      <c r="AU69" s="10">
        <f t="shared" ref="AU69:AU82" si="29">IF(AA69=0,0,AT69)</f>
        <v>0</v>
      </c>
      <c r="AV69" s="10">
        <f>'Tulumaks 2021-2024'!J69*0.0188*'Tulumaks 2021-2024'!J$85</f>
        <v>340150.61930808832</v>
      </c>
      <c r="AW69" s="10">
        <v>83</v>
      </c>
      <c r="AX69" s="10">
        <f t="shared" ref="AX69:AX82" si="30">IF((AS69+AU69+AV69)/12/AW69&lt;379,379*AW69*12-AV69-AU69-AS69,0)</f>
        <v>37333.380691911676</v>
      </c>
      <c r="AY69" s="10">
        <f>SUM('Tulumaks 2021-2024'!H69:I69)</f>
        <v>8244847.3200000003</v>
      </c>
      <c r="AZ69" s="10">
        <v>8907844</v>
      </c>
      <c r="BA69" s="10">
        <f t="shared" ref="BA69:BA81" si="31">AY69/AY$83*AY$84+AZ69/AZ$83*AZ$84</f>
        <v>41351.628966891505</v>
      </c>
      <c r="BB69" s="10"/>
      <c r="BC69" s="10">
        <f t="shared" ref="BC69:BC82" si="32">ROUND(AC69+AL69+AO69+AQ69+AS69+AU69+AX69+BA69+BB69,0)</f>
        <v>2482088</v>
      </c>
      <c r="BD69" s="10">
        <v>2502997</v>
      </c>
      <c r="BE69" s="10">
        <f t="shared" ref="BE69:BE82" si="33">BC69-BD69</f>
        <v>-20909</v>
      </c>
      <c r="BF69" s="5"/>
      <c r="BG69" s="5"/>
      <c r="BH69" s="112"/>
      <c r="BI69" s="112"/>
      <c r="BL69" s="56"/>
      <c r="BM69" s="56"/>
    </row>
    <row r="70" spans="1:65" ht="15" x14ac:dyDescent="0.25">
      <c r="A70" s="20" t="s">
        <v>13</v>
      </c>
      <c r="B70" s="21" t="s">
        <v>15</v>
      </c>
      <c r="C70" s="21" t="s">
        <v>15</v>
      </c>
      <c r="D70" s="10">
        <f>'Tulumaks 2021-2024'!D70*0.025*'Tulumaks 2021-2024'!D$85</f>
        <v>3482496.5917487442</v>
      </c>
      <c r="E70" s="10">
        <f>'Tulumaks 2021-2024'!E70*0.025*'Tulumaks 2021-2024'!E$85</f>
        <v>3672958.2592534213</v>
      </c>
      <c r="F70" s="10">
        <f>'Tulumaks 2021-2024'!F70*0.025*'Tulumaks 2021-2024'!F$85</f>
        <v>4238887.0206992244</v>
      </c>
      <c r="G70" s="10">
        <v>98654144.430602014</v>
      </c>
      <c r="H70" s="10">
        <v>111321549.61287625</v>
      </c>
      <c r="I70" s="10">
        <f>'Tulumaks 2021-2024'!O70/11.96*11.89</f>
        <v>124397380.27173913</v>
      </c>
      <c r="J70" s="10">
        <v>1987981.2707749859</v>
      </c>
      <c r="K70" s="4">
        <f t="shared" si="24"/>
        <v>121231795.48310322</v>
      </c>
      <c r="L70" s="10">
        <v>7270</v>
      </c>
      <c r="M70" s="10">
        <v>14437</v>
      </c>
      <c r="N70" s="10">
        <v>10837</v>
      </c>
      <c r="O70" s="10">
        <v>58152</v>
      </c>
      <c r="P70" s="10">
        <v>18411</v>
      </c>
      <c r="Q70" s="10">
        <v>15281</v>
      </c>
      <c r="R70" s="10">
        <v>3130</v>
      </c>
      <c r="S70" s="10">
        <f t="shared" si="25"/>
        <v>98270</v>
      </c>
      <c r="T70" s="116">
        <v>1.02</v>
      </c>
      <c r="U70" s="10">
        <v>2150</v>
      </c>
      <c r="V70" s="10">
        <v>29</v>
      </c>
      <c r="W70" s="10">
        <v>73</v>
      </c>
      <c r="X70" s="10">
        <v>13</v>
      </c>
      <c r="Y70" s="3">
        <f t="shared" si="26"/>
        <v>117864542.56385572</v>
      </c>
      <c r="Z70" s="10"/>
      <c r="AA70" s="12">
        <f t="shared" si="17"/>
        <v>0</v>
      </c>
      <c r="AB70" s="12">
        <v>0</v>
      </c>
      <c r="AC70" s="12">
        <f t="shared" si="18"/>
        <v>0</v>
      </c>
      <c r="AD70" s="12">
        <v>8318</v>
      </c>
      <c r="AE70" s="12">
        <v>13438</v>
      </c>
      <c r="AF70" s="12">
        <v>10570</v>
      </c>
      <c r="AG70" s="12">
        <v>59860</v>
      </c>
      <c r="AH70" s="12">
        <v>18025</v>
      </c>
      <c r="AI70" s="12">
        <f t="shared" si="27"/>
        <v>99641</v>
      </c>
      <c r="AJ70" s="12">
        <f t="shared" si="19"/>
        <v>121665282.38939947</v>
      </c>
      <c r="AK70" s="12">
        <f t="shared" si="20"/>
        <v>390138</v>
      </c>
      <c r="AL70" s="12">
        <f t="shared" si="28"/>
        <v>78027.600000000006</v>
      </c>
      <c r="AM70" s="7"/>
      <c r="AN70" s="117"/>
      <c r="AO70" s="7"/>
      <c r="AP70" s="10">
        <v>0</v>
      </c>
      <c r="AQ70" s="10">
        <f t="shared" si="21"/>
        <v>0</v>
      </c>
      <c r="AR70" s="10"/>
      <c r="AS70" s="10">
        <f t="shared" si="22"/>
        <v>0</v>
      </c>
      <c r="AT70" s="10">
        <f t="shared" si="23"/>
        <v>0</v>
      </c>
      <c r="AU70" s="10">
        <f t="shared" si="29"/>
        <v>0</v>
      </c>
      <c r="AV70" s="10">
        <f>'Tulumaks 2021-2024'!J70*0.0188*'Tulumaks 2021-2024'!J$85</f>
        <v>3616383.8061614889</v>
      </c>
      <c r="AW70" s="10">
        <v>828</v>
      </c>
      <c r="AX70" s="10">
        <f t="shared" si="30"/>
        <v>149360.19383851113</v>
      </c>
      <c r="AY70" s="10">
        <f>SUM('Tulumaks 2021-2024'!H70:I70)</f>
        <v>87302214.449999988</v>
      </c>
      <c r="AZ70" s="10">
        <v>64197629</v>
      </c>
      <c r="BA70" s="10">
        <f t="shared" si="31"/>
        <v>394378.13617259962</v>
      </c>
      <c r="BB70" s="10">
        <v>696000</v>
      </c>
      <c r="BC70" s="10">
        <f t="shared" si="32"/>
        <v>1317766</v>
      </c>
      <c r="BD70" s="10">
        <v>393668</v>
      </c>
      <c r="BE70" s="10">
        <f t="shared" si="33"/>
        <v>924098</v>
      </c>
      <c r="BF70" s="5"/>
      <c r="BG70" s="5"/>
      <c r="BH70" s="112"/>
      <c r="BI70" s="112"/>
      <c r="BL70" s="56"/>
      <c r="BM70" s="56"/>
    </row>
    <row r="71" spans="1:65" ht="15" x14ac:dyDescent="0.25">
      <c r="A71" s="20" t="s">
        <v>10</v>
      </c>
      <c r="B71" s="21" t="s">
        <v>95</v>
      </c>
      <c r="C71" s="21" t="s">
        <v>11</v>
      </c>
      <c r="D71" s="10">
        <f>'Tulumaks 2021-2024'!D71*0.025*'Tulumaks 2021-2024'!D$85</f>
        <v>263526.17658380658</v>
      </c>
      <c r="E71" s="10">
        <f>'Tulumaks 2021-2024'!E71*0.025*'Tulumaks 2021-2024'!E$85</f>
        <v>280285.59105231182</v>
      </c>
      <c r="F71" s="10">
        <f>'Tulumaks 2021-2024'!F71*0.025*'Tulumaks 2021-2024'!F$85</f>
        <v>325785.58299077023</v>
      </c>
      <c r="G71" s="10">
        <v>5696026.7801003344</v>
      </c>
      <c r="H71" s="10">
        <v>6349850.5234113708</v>
      </c>
      <c r="I71" s="10">
        <f>'Tulumaks 2021-2024'!O71/11.96*11.89</f>
        <v>6804806.0635451498</v>
      </c>
      <c r="J71" s="10">
        <v>207807.28819999975</v>
      </c>
      <c r="K71" s="4">
        <f t="shared" si="24"/>
        <v>6954054.5371438926</v>
      </c>
      <c r="L71" s="10">
        <v>428</v>
      </c>
      <c r="M71" s="10">
        <v>778</v>
      </c>
      <c r="N71" s="10">
        <v>608</v>
      </c>
      <c r="O71" s="10">
        <v>3727</v>
      </c>
      <c r="P71" s="10">
        <v>1455</v>
      </c>
      <c r="Q71" s="10">
        <v>1250</v>
      </c>
      <c r="R71" s="10">
        <v>205</v>
      </c>
      <c r="S71" s="10">
        <f t="shared" si="25"/>
        <v>6388</v>
      </c>
      <c r="T71" s="116">
        <v>1.9</v>
      </c>
      <c r="U71" s="10">
        <v>82</v>
      </c>
      <c r="V71" s="10">
        <v>0</v>
      </c>
      <c r="W71" s="10">
        <v>9</v>
      </c>
      <c r="X71" s="10">
        <v>0</v>
      </c>
      <c r="Y71" s="3">
        <f t="shared" si="26"/>
        <v>8193461.7084115315</v>
      </c>
      <c r="Z71" s="10"/>
      <c r="AA71" s="12">
        <f t="shared" si="17"/>
        <v>1115466</v>
      </c>
      <c r="AB71" s="12">
        <v>0</v>
      </c>
      <c r="AC71" s="12">
        <f t="shared" si="18"/>
        <v>1115466</v>
      </c>
      <c r="AD71" s="12">
        <v>410</v>
      </c>
      <c r="AE71" s="12">
        <v>756</v>
      </c>
      <c r="AF71" s="12">
        <v>562</v>
      </c>
      <c r="AG71" s="12">
        <v>3990</v>
      </c>
      <c r="AH71" s="12">
        <v>1434</v>
      </c>
      <c r="AI71" s="12">
        <f t="shared" si="27"/>
        <v>6590</v>
      </c>
      <c r="AJ71" s="12">
        <f t="shared" si="19"/>
        <v>8122874.1344879121</v>
      </c>
      <c r="AK71" s="12">
        <f t="shared" si="20"/>
        <v>1051938</v>
      </c>
      <c r="AL71" s="12">
        <f t="shared" si="28"/>
        <v>0</v>
      </c>
      <c r="AM71" s="7"/>
      <c r="AN71" s="117"/>
      <c r="AO71" s="7"/>
      <c r="AP71" s="10">
        <v>0</v>
      </c>
      <c r="AQ71" s="10">
        <f t="shared" si="21"/>
        <v>0</v>
      </c>
      <c r="AR71" s="10"/>
      <c r="AS71" s="10">
        <f t="shared" si="22"/>
        <v>0</v>
      </c>
      <c r="AT71" s="10">
        <f t="shared" si="23"/>
        <v>0</v>
      </c>
      <c r="AU71" s="10">
        <f t="shared" si="29"/>
        <v>0</v>
      </c>
      <c r="AV71" s="10">
        <f>'Tulumaks 2021-2024'!J71*0.0188*'Tulumaks 2021-2024'!J$85</f>
        <v>277942.2289047839</v>
      </c>
      <c r="AW71" s="10">
        <v>82</v>
      </c>
      <c r="AX71" s="10">
        <f t="shared" si="30"/>
        <v>94993.7710952161</v>
      </c>
      <c r="AY71" s="10">
        <f>SUM('Tulumaks 2021-2024'!H71:I71)</f>
        <v>6720009.6800000006</v>
      </c>
      <c r="AZ71" s="10">
        <v>3435941</v>
      </c>
      <c r="BA71" s="10">
        <f t="shared" si="31"/>
        <v>28183.71851398117</v>
      </c>
      <c r="BB71" s="10"/>
      <c r="BC71" s="10">
        <f t="shared" si="32"/>
        <v>1238643</v>
      </c>
      <c r="BD71" s="10">
        <v>1062870</v>
      </c>
      <c r="BE71" s="10">
        <f t="shared" si="33"/>
        <v>175773</v>
      </c>
      <c r="BF71" s="5"/>
      <c r="BG71" s="5"/>
      <c r="BH71" s="112"/>
      <c r="BI71" s="112"/>
      <c r="BL71" s="56"/>
      <c r="BM71" s="56"/>
    </row>
    <row r="72" spans="1:65" ht="15" x14ac:dyDescent="0.25">
      <c r="A72" s="20" t="s">
        <v>10</v>
      </c>
      <c r="B72" s="21" t="s">
        <v>226</v>
      </c>
      <c r="C72" s="21" t="s">
        <v>9</v>
      </c>
      <c r="D72" s="10">
        <f>'Tulumaks 2021-2024'!D72*0.025*'Tulumaks 2021-2024'!D$85</f>
        <v>274149.1681062741</v>
      </c>
      <c r="E72" s="10">
        <f>'Tulumaks 2021-2024'!E72*0.025*'Tulumaks 2021-2024'!E$85</f>
        <v>288478.60513515444</v>
      </c>
      <c r="F72" s="10">
        <f>'Tulumaks 2021-2024'!F72*0.025*'Tulumaks 2021-2024'!F$85</f>
        <v>330965.60723228316</v>
      </c>
      <c r="G72" s="10">
        <v>4881797.3929765886</v>
      </c>
      <c r="H72" s="10">
        <v>5169182.4707357856</v>
      </c>
      <c r="I72" s="10">
        <f>'Tulumaks 2021-2024'!O72/11.96*11.89</f>
        <v>5480223.2801003344</v>
      </c>
      <c r="J72" s="10">
        <v>310806.57415</v>
      </c>
      <c r="K72" s="4">
        <f t="shared" si="24"/>
        <v>5884888.6527941637</v>
      </c>
      <c r="L72" s="10">
        <v>394</v>
      </c>
      <c r="M72" s="10">
        <v>734</v>
      </c>
      <c r="N72" s="10">
        <v>536</v>
      </c>
      <c r="O72" s="10">
        <v>3325</v>
      </c>
      <c r="P72" s="10">
        <v>1488</v>
      </c>
      <c r="Q72" s="10">
        <v>1258</v>
      </c>
      <c r="R72" s="10">
        <v>230</v>
      </c>
      <c r="S72" s="10">
        <f t="shared" si="25"/>
        <v>5941</v>
      </c>
      <c r="T72" s="116">
        <v>1.65</v>
      </c>
      <c r="U72" s="10">
        <v>80</v>
      </c>
      <c r="V72" s="10">
        <v>7</v>
      </c>
      <c r="W72" s="10">
        <v>2</v>
      </c>
      <c r="X72" s="10">
        <v>1</v>
      </c>
      <c r="Y72" s="3">
        <f t="shared" si="26"/>
        <v>7277246.6855234606</v>
      </c>
      <c r="Z72" s="10"/>
      <c r="AA72" s="12">
        <f t="shared" si="17"/>
        <v>1253122</v>
      </c>
      <c r="AB72" s="12">
        <v>0</v>
      </c>
      <c r="AC72" s="12">
        <f t="shared" si="18"/>
        <v>1253122</v>
      </c>
      <c r="AD72" s="12">
        <v>389</v>
      </c>
      <c r="AE72" s="12">
        <v>737</v>
      </c>
      <c r="AF72" s="12">
        <v>550</v>
      </c>
      <c r="AG72" s="12">
        <v>3657</v>
      </c>
      <c r="AH72" s="12">
        <v>1431</v>
      </c>
      <c r="AI72" s="12">
        <f t="shared" si="27"/>
        <v>6214</v>
      </c>
      <c r="AJ72" s="12">
        <f t="shared" si="19"/>
        <v>7448816.4959959416</v>
      </c>
      <c r="AK72" s="12">
        <f t="shared" si="20"/>
        <v>1407535</v>
      </c>
      <c r="AL72" s="12">
        <f t="shared" si="28"/>
        <v>30882.600000000002</v>
      </c>
      <c r="AM72" s="7"/>
      <c r="AN72" s="117"/>
      <c r="AO72" s="7"/>
      <c r="AP72" s="10">
        <v>202</v>
      </c>
      <c r="AQ72" s="10">
        <f t="shared" si="21"/>
        <v>144</v>
      </c>
      <c r="AR72" s="10"/>
      <c r="AS72" s="10">
        <f t="shared" si="22"/>
        <v>0</v>
      </c>
      <c r="AT72" s="10">
        <f t="shared" si="23"/>
        <v>0</v>
      </c>
      <c r="AU72" s="10">
        <f t="shared" si="29"/>
        <v>0</v>
      </c>
      <c r="AV72" s="10">
        <f>'Tulumaks 2021-2024'!J72*0.0188*'Tulumaks 2021-2024'!J$85</f>
        <v>282361.53890079353</v>
      </c>
      <c r="AW72" s="10">
        <v>86</v>
      </c>
      <c r="AX72" s="10">
        <f t="shared" si="30"/>
        <v>108766.46109920647</v>
      </c>
      <c r="AY72" s="10">
        <f>SUM('Tulumaks 2021-2024'!H72:I72)</f>
        <v>6837083.8799999999</v>
      </c>
      <c r="AZ72" s="10">
        <v>2819682</v>
      </c>
      <c r="BA72" s="10">
        <f t="shared" si="31"/>
        <v>27698.82564172769</v>
      </c>
      <c r="BB72" s="10"/>
      <c r="BC72" s="10">
        <f t="shared" si="32"/>
        <v>1420614</v>
      </c>
      <c r="BD72" s="10">
        <v>953532</v>
      </c>
      <c r="BE72" s="10">
        <f t="shared" si="33"/>
        <v>467082</v>
      </c>
      <c r="BF72" s="5"/>
      <c r="BG72" s="5"/>
      <c r="BH72" s="112"/>
      <c r="BI72" s="112"/>
      <c r="BL72" s="56"/>
      <c r="BM72" s="56"/>
    </row>
    <row r="73" spans="1:65" ht="15" x14ac:dyDescent="0.25">
      <c r="A73" s="20" t="s">
        <v>10</v>
      </c>
      <c r="B73" s="21" t="s">
        <v>227</v>
      </c>
      <c r="C73" s="21" t="s">
        <v>10</v>
      </c>
      <c r="D73" s="10">
        <f>'Tulumaks 2021-2024'!D73*0.025*'Tulumaks 2021-2024'!D$85</f>
        <v>667682.49825740664</v>
      </c>
      <c r="E73" s="10">
        <f>'Tulumaks 2021-2024'!E73*0.025*'Tulumaks 2021-2024'!E$85</f>
        <v>699060.07547959115</v>
      </c>
      <c r="F73" s="10">
        <f>'Tulumaks 2021-2024'!F73*0.025*'Tulumaks 2021-2024'!F$85</f>
        <v>812992.4049378084</v>
      </c>
      <c r="G73" s="10">
        <v>9906687.3570234105</v>
      </c>
      <c r="H73" s="10">
        <v>10698598.140468227</v>
      </c>
      <c r="I73" s="10">
        <f>'Tulumaks 2021-2024'!O73/11.96*11.89</f>
        <v>11505113.939799331</v>
      </c>
      <c r="J73" s="10">
        <v>392839.52427499869</v>
      </c>
      <c r="K73" s="4">
        <f t="shared" si="24"/>
        <v>12086064.132484077</v>
      </c>
      <c r="L73" s="10">
        <v>887</v>
      </c>
      <c r="M73" s="10">
        <v>1966</v>
      </c>
      <c r="N73" s="10">
        <v>1443</v>
      </c>
      <c r="O73" s="10">
        <v>8587</v>
      </c>
      <c r="P73" s="10">
        <v>3788</v>
      </c>
      <c r="Q73" s="10">
        <v>3280</v>
      </c>
      <c r="R73" s="10">
        <v>508</v>
      </c>
      <c r="S73" s="10">
        <f t="shared" si="25"/>
        <v>15228</v>
      </c>
      <c r="T73" s="116">
        <v>1.22</v>
      </c>
      <c r="U73" s="10">
        <v>35</v>
      </c>
      <c r="V73" s="10">
        <v>39</v>
      </c>
      <c r="W73" s="10">
        <v>19</v>
      </c>
      <c r="X73" s="10">
        <v>0</v>
      </c>
      <c r="Y73" s="3">
        <f t="shared" si="26"/>
        <v>17455177.885609828</v>
      </c>
      <c r="Z73" s="10"/>
      <c r="AA73" s="12">
        <f t="shared" si="17"/>
        <v>4832202</v>
      </c>
      <c r="AB73" s="12">
        <v>0</v>
      </c>
      <c r="AC73" s="12">
        <f t="shared" si="18"/>
        <v>4832202</v>
      </c>
      <c r="AD73" s="12">
        <v>934</v>
      </c>
      <c r="AE73" s="12">
        <v>2074</v>
      </c>
      <c r="AF73" s="12">
        <v>1537</v>
      </c>
      <c r="AG73" s="12">
        <v>9829</v>
      </c>
      <c r="AH73" s="12">
        <v>3668</v>
      </c>
      <c r="AI73" s="12">
        <f t="shared" si="27"/>
        <v>16505</v>
      </c>
      <c r="AJ73" s="12">
        <f t="shared" si="19"/>
        <v>18555493.476789985</v>
      </c>
      <c r="AK73" s="12">
        <f t="shared" si="20"/>
        <v>5822486</v>
      </c>
      <c r="AL73" s="12">
        <f t="shared" si="28"/>
        <v>198056.80000000002</v>
      </c>
      <c r="AM73" s="7"/>
      <c r="AN73" s="117"/>
      <c r="AO73" s="7"/>
      <c r="AP73" s="10">
        <v>0</v>
      </c>
      <c r="AQ73" s="10">
        <f t="shared" si="21"/>
        <v>0</v>
      </c>
      <c r="AR73" s="10"/>
      <c r="AS73" s="10">
        <f t="shared" si="22"/>
        <v>0</v>
      </c>
      <c r="AT73" s="10">
        <f t="shared" si="23"/>
        <v>0</v>
      </c>
      <c r="AU73" s="10">
        <f t="shared" si="29"/>
        <v>0</v>
      </c>
      <c r="AV73" s="10">
        <f>'Tulumaks 2021-2024'!J73*0.0188*'Tulumaks 2021-2024'!J$85</f>
        <v>693600.12507820805</v>
      </c>
      <c r="AW73" s="10">
        <v>173</v>
      </c>
      <c r="AX73" s="10">
        <f t="shared" si="30"/>
        <v>93203.874921791954</v>
      </c>
      <c r="AY73" s="10">
        <f>SUM('Tulumaks 2021-2024'!H73:I73)</f>
        <v>16732500.5</v>
      </c>
      <c r="AZ73" s="10">
        <v>5904544</v>
      </c>
      <c r="BA73" s="10">
        <f t="shared" si="31"/>
        <v>66349.992926235267</v>
      </c>
      <c r="BB73" s="10"/>
      <c r="BC73" s="10">
        <f t="shared" si="32"/>
        <v>5189813</v>
      </c>
      <c r="BD73" s="10">
        <v>4194598</v>
      </c>
      <c r="BE73" s="10">
        <f t="shared" si="33"/>
        <v>995215</v>
      </c>
      <c r="BF73" s="5"/>
      <c r="BG73" s="5"/>
      <c r="BH73" s="112"/>
      <c r="BI73" s="112"/>
      <c r="BL73" s="56"/>
      <c r="BM73" s="56"/>
    </row>
    <row r="74" spans="1:65" ht="15" x14ac:dyDescent="0.25">
      <c r="A74" s="20" t="s">
        <v>6</v>
      </c>
      <c r="B74" s="21" t="s">
        <v>228</v>
      </c>
      <c r="C74" s="21" t="s">
        <v>7</v>
      </c>
      <c r="D74" s="10">
        <f>'Tulumaks 2021-2024'!D74*0.025*'Tulumaks 2021-2024'!D$85</f>
        <v>353269.7039236101</v>
      </c>
      <c r="E74" s="10">
        <f>'Tulumaks 2021-2024'!E74*0.025*'Tulumaks 2021-2024'!E$85</f>
        <v>374545.66219067684</v>
      </c>
      <c r="F74" s="10">
        <f>'Tulumaks 2021-2024'!F74*0.025*'Tulumaks 2021-2024'!F$85</f>
        <v>436667.93861250317</v>
      </c>
      <c r="G74" s="10">
        <v>5243028.7157190638</v>
      </c>
      <c r="H74" s="10">
        <v>5865715.770066889</v>
      </c>
      <c r="I74" s="10">
        <f>'Tulumaks 2021-2024'!O74/11.96*11.89</f>
        <v>6114334.0794314379</v>
      </c>
      <c r="J74" s="10">
        <v>447087.78964999947</v>
      </c>
      <c r="K74" s="4">
        <f t="shared" si="24"/>
        <v>6713926.9122777749</v>
      </c>
      <c r="L74" s="10">
        <v>415</v>
      </c>
      <c r="M74" s="10">
        <v>828</v>
      </c>
      <c r="N74" s="10">
        <v>608</v>
      </c>
      <c r="O74" s="10">
        <v>3998</v>
      </c>
      <c r="P74" s="10">
        <v>1969</v>
      </c>
      <c r="Q74" s="10">
        <v>1659</v>
      </c>
      <c r="R74" s="10">
        <v>310</v>
      </c>
      <c r="S74" s="10">
        <f t="shared" si="25"/>
        <v>7210</v>
      </c>
      <c r="T74" s="116">
        <v>2.0099999999999998</v>
      </c>
      <c r="U74" s="10">
        <v>100</v>
      </c>
      <c r="V74" s="10">
        <v>36</v>
      </c>
      <c r="W74" s="10">
        <v>1</v>
      </c>
      <c r="X74" s="10">
        <v>0</v>
      </c>
      <c r="Y74" s="3">
        <f t="shared" si="26"/>
        <v>8875533.7359797116</v>
      </c>
      <c r="Z74" s="10"/>
      <c r="AA74" s="12">
        <f t="shared" si="17"/>
        <v>1945446</v>
      </c>
      <c r="AB74" s="12">
        <v>0</v>
      </c>
      <c r="AC74" s="12">
        <f t="shared" si="18"/>
        <v>1945446</v>
      </c>
      <c r="AD74" s="12">
        <v>445</v>
      </c>
      <c r="AE74" s="12">
        <v>783</v>
      </c>
      <c r="AF74" s="12">
        <v>577</v>
      </c>
      <c r="AG74" s="12">
        <v>4472</v>
      </c>
      <c r="AH74" s="12">
        <v>1875</v>
      </c>
      <c r="AI74" s="12">
        <f t="shared" si="27"/>
        <v>7575</v>
      </c>
      <c r="AJ74" s="12">
        <f t="shared" si="19"/>
        <v>9085660.5388484094</v>
      </c>
      <c r="AK74" s="12">
        <f t="shared" si="20"/>
        <v>2134560</v>
      </c>
      <c r="AL74" s="12">
        <f t="shared" si="28"/>
        <v>37822.800000000003</v>
      </c>
      <c r="AM74" s="7"/>
      <c r="AN74" s="117"/>
      <c r="AO74" s="7"/>
      <c r="AP74" s="10">
        <v>0</v>
      </c>
      <c r="AQ74" s="10">
        <f t="shared" si="21"/>
        <v>0</v>
      </c>
      <c r="AR74" s="10"/>
      <c r="AS74" s="10">
        <f t="shared" si="22"/>
        <v>0</v>
      </c>
      <c r="AT74" s="10">
        <f t="shared" si="23"/>
        <v>0</v>
      </c>
      <c r="AU74" s="10">
        <f t="shared" si="29"/>
        <v>0</v>
      </c>
      <c r="AV74" s="10">
        <f>'Tulumaks 2021-2024'!J74*0.0188*'Tulumaks 2021-2024'!J$85</f>
        <v>372540.91797136079</v>
      </c>
      <c r="AW74" s="10">
        <v>132</v>
      </c>
      <c r="AX74" s="10">
        <f t="shared" si="30"/>
        <v>227795.08202863921</v>
      </c>
      <c r="AY74" s="10">
        <f>SUM('Tulumaks 2021-2024'!H74:I74)</f>
        <v>8977629.7400000002</v>
      </c>
      <c r="AZ74" s="10">
        <v>3118033</v>
      </c>
      <c r="BA74" s="10">
        <f t="shared" si="31"/>
        <v>35527.178619958155</v>
      </c>
      <c r="BB74" s="10"/>
      <c r="BC74" s="10">
        <f t="shared" si="32"/>
        <v>2246591</v>
      </c>
      <c r="BD74" s="10">
        <v>1633813</v>
      </c>
      <c r="BE74" s="10">
        <f t="shared" si="33"/>
        <v>612778</v>
      </c>
      <c r="BF74" s="5"/>
      <c r="BG74" s="5"/>
      <c r="BH74" s="112"/>
      <c r="BI74" s="112"/>
      <c r="BL74" s="56"/>
      <c r="BM74" s="56"/>
    </row>
    <row r="75" spans="1:65" ht="15" x14ac:dyDescent="0.25">
      <c r="A75" s="20" t="s">
        <v>6</v>
      </c>
      <c r="B75" s="21" t="s">
        <v>229</v>
      </c>
      <c r="C75" s="21" t="s">
        <v>8</v>
      </c>
      <c r="D75" s="10">
        <f>'Tulumaks 2021-2024'!D75*0.025*'Tulumaks 2021-2024'!D$85</f>
        <v>347447.34306852013</v>
      </c>
      <c r="E75" s="10">
        <f>'Tulumaks 2021-2024'!E75*0.025*'Tulumaks 2021-2024'!E$85</f>
        <v>376746.61294377566</v>
      </c>
      <c r="F75" s="10">
        <f>'Tulumaks 2021-2024'!F75*0.025*'Tulumaks 2021-2024'!F$85</f>
        <v>436974.36812548956</v>
      </c>
      <c r="G75" s="10">
        <v>6352012.7934782607</v>
      </c>
      <c r="H75" s="10">
        <v>7015304.7943143807</v>
      </c>
      <c r="I75" s="10">
        <f>'Tulumaks 2021-2024'!O75/11.96*11.89</f>
        <v>7443110.1755852839</v>
      </c>
      <c r="J75" s="10">
        <v>420232.33559999982</v>
      </c>
      <c r="K75" s="4">
        <f t="shared" si="24"/>
        <v>7917782.05694219</v>
      </c>
      <c r="L75" s="10">
        <v>499</v>
      </c>
      <c r="M75" s="10">
        <v>1000</v>
      </c>
      <c r="N75" s="10">
        <v>759</v>
      </c>
      <c r="O75" s="10">
        <v>4342</v>
      </c>
      <c r="P75" s="10">
        <v>1925</v>
      </c>
      <c r="Q75" s="10">
        <v>1649</v>
      </c>
      <c r="R75" s="10">
        <v>276</v>
      </c>
      <c r="S75" s="10">
        <f t="shared" si="25"/>
        <v>7766</v>
      </c>
      <c r="T75" s="116">
        <v>2.02</v>
      </c>
      <c r="U75" s="10">
        <v>67</v>
      </c>
      <c r="V75" s="10">
        <v>2</v>
      </c>
      <c r="W75" s="10">
        <v>6</v>
      </c>
      <c r="X75" s="10">
        <v>0</v>
      </c>
      <c r="Y75" s="3">
        <f t="shared" si="26"/>
        <v>9935877.3062282018</v>
      </c>
      <c r="Z75" s="10"/>
      <c r="AA75" s="12">
        <f t="shared" si="17"/>
        <v>1816286</v>
      </c>
      <c r="AB75" s="12">
        <v>0</v>
      </c>
      <c r="AC75" s="12">
        <f t="shared" si="18"/>
        <v>1816286</v>
      </c>
      <c r="AD75" s="12">
        <v>543</v>
      </c>
      <c r="AE75" s="12">
        <v>939</v>
      </c>
      <c r="AF75" s="12">
        <v>714</v>
      </c>
      <c r="AG75" s="12">
        <v>4818</v>
      </c>
      <c r="AH75" s="12">
        <v>1801</v>
      </c>
      <c r="AI75" s="12">
        <f t="shared" si="27"/>
        <v>8101</v>
      </c>
      <c r="AJ75" s="12">
        <f t="shared" si="19"/>
        <v>10125163.739145566</v>
      </c>
      <c r="AK75" s="12">
        <f t="shared" si="20"/>
        <v>1986644</v>
      </c>
      <c r="AL75" s="12">
        <f t="shared" si="28"/>
        <v>34071.599999999999</v>
      </c>
      <c r="AM75" s="7"/>
      <c r="AN75" s="117"/>
      <c r="AO75" s="7"/>
      <c r="AP75" s="10">
        <v>0</v>
      </c>
      <c r="AQ75" s="10">
        <f t="shared" si="21"/>
        <v>0</v>
      </c>
      <c r="AR75" s="10"/>
      <c r="AS75" s="10">
        <f t="shared" si="22"/>
        <v>0</v>
      </c>
      <c r="AT75" s="10">
        <f t="shared" si="23"/>
        <v>0</v>
      </c>
      <c r="AU75" s="10">
        <f t="shared" si="29"/>
        <v>0</v>
      </c>
      <c r="AV75" s="10">
        <f>'Tulumaks 2021-2024'!J75*0.0188*'Tulumaks 2021-2024'!J$85</f>
        <v>372802.34667259362</v>
      </c>
      <c r="AW75" s="10">
        <v>126</v>
      </c>
      <c r="AX75" s="10">
        <f t="shared" si="30"/>
        <v>200245.65332740638</v>
      </c>
      <c r="AY75" s="10">
        <f>SUM('Tulumaks 2021-2024'!H75:I75)</f>
        <v>8975586.1899999995</v>
      </c>
      <c r="AZ75" s="10">
        <v>3801763</v>
      </c>
      <c r="BA75" s="10">
        <f t="shared" si="31"/>
        <v>36507.003719611173</v>
      </c>
      <c r="BB75" s="10"/>
      <c r="BC75" s="10">
        <f t="shared" si="32"/>
        <v>2087110</v>
      </c>
      <c r="BD75" s="10">
        <v>1578158</v>
      </c>
      <c r="BE75" s="10">
        <f t="shared" si="33"/>
        <v>508952</v>
      </c>
      <c r="BF75" s="5"/>
      <c r="BG75" s="5"/>
      <c r="BH75" s="112"/>
      <c r="BI75" s="112"/>
      <c r="BL75" s="56"/>
      <c r="BM75" s="56"/>
    </row>
    <row r="76" spans="1:65" ht="15" x14ac:dyDescent="0.25">
      <c r="A76" s="20" t="s">
        <v>6</v>
      </c>
      <c r="B76" s="21" t="s">
        <v>94</v>
      </c>
      <c r="C76" s="21" t="s">
        <v>6</v>
      </c>
      <c r="D76" s="10">
        <f>'Tulumaks 2021-2024'!D76*0.025*'Tulumaks 2021-2024'!D$85</f>
        <v>576853.95497087378</v>
      </c>
      <c r="E76" s="10">
        <f>'Tulumaks 2021-2024'!E76*0.025*'Tulumaks 2021-2024'!E$85</f>
        <v>610141.83275425469</v>
      </c>
      <c r="F76" s="10">
        <f>'Tulumaks 2021-2024'!F76*0.025*'Tulumaks 2021-2024'!F$85</f>
        <v>706715.86376542237</v>
      </c>
      <c r="G76" s="10">
        <v>11293642.933110368</v>
      </c>
      <c r="H76" s="10">
        <v>12272876.888795987</v>
      </c>
      <c r="I76" s="10">
        <f>'Tulumaks 2021-2024'!O76/11.96*11.89</f>
        <v>13343719.516722407</v>
      </c>
      <c r="J76" s="10">
        <v>678820.95542500028</v>
      </c>
      <c r="K76" s="4">
        <f t="shared" si="24"/>
        <v>13943043.639750235</v>
      </c>
      <c r="L76" s="10">
        <v>878</v>
      </c>
      <c r="M76" s="10">
        <v>1710</v>
      </c>
      <c r="N76" s="10">
        <v>1259</v>
      </c>
      <c r="O76" s="10">
        <v>7835</v>
      </c>
      <c r="P76" s="10">
        <v>3119</v>
      </c>
      <c r="Q76" s="10">
        <v>2713</v>
      </c>
      <c r="R76" s="10">
        <v>406</v>
      </c>
      <c r="S76" s="10">
        <f t="shared" si="25"/>
        <v>13542</v>
      </c>
      <c r="T76" s="116">
        <v>2</v>
      </c>
      <c r="U76" s="10">
        <v>111</v>
      </c>
      <c r="V76" s="10">
        <v>0</v>
      </c>
      <c r="W76" s="10">
        <v>16</v>
      </c>
      <c r="X76" s="10">
        <v>1</v>
      </c>
      <c r="Y76" s="3">
        <f t="shared" si="26"/>
        <v>17124341.855096202</v>
      </c>
      <c r="Z76" s="10"/>
      <c r="AA76" s="12">
        <f t="shared" si="17"/>
        <v>2863168</v>
      </c>
      <c r="AB76" s="12">
        <v>0</v>
      </c>
      <c r="AC76" s="12">
        <f t="shared" si="18"/>
        <v>2863168</v>
      </c>
      <c r="AD76" s="12">
        <v>849</v>
      </c>
      <c r="AE76" s="12">
        <v>1591</v>
      </c>
      <c r="AF76" s="12">
        <v>1165</v>
      </c>
      <c r="AG76" s="12">
        <v>8417</v>
      </c>
      <c r="AH76" s="12">
        <v>2952</v>
      </c>
      <c r="AI76" s="12">
        <f t="shared" si="27"/>
        <v>13809</v>
      </c>
      <c r="AJ76" s="12">
        <f t="shared" si="19"/>
        <v>16871041.42871283</v>
      </c>
      <c r="AK76" s="12">
        <f t="shared" si="20"/>
        <v>2635198</v>
      </c>
      <c r="AL76" s="12">
        <f t="shared" si="28"/>
        <v>0</v>
      </c>
      <c r="AM76" s="7"/>
      <c r="AN76" s="117"/>
      <c r="AO76" s="7"/>
      <c r="AP76" s="10">
        <v>3250</v>
      </c>
      <c r="AQ76" s="10">
        <f t="shared" si="21"/>
        <v>2324</v>
      </c>
      <c r="AR76" s="10"/>
      <c r="AS76" s="10">
        <f t="shared" si="22"/>
        <v>0</v>
      </c>
      <c r="AT76" s="10">
        <f t="shared" si="23"/>
        <v>0</v>
      </c>
      <c r="AU76" s="10">
        <f t="shared" si="29"/>
        <v>0</v>
      </c>
      <c r="AV76" s="10">
        <f>'Tulumaks 2021-2024'!J76*0.0188*'Tulumaks 2021-2024'!J$85</f>
        <v>602930.86199242901</v>
      </c>
      <c r="AW76" s="10">
        <v>164</v>
      </c>
      <c r="AX76" s="10">
        <f t="shared" si="30"/>
        <v>142941.13800757099</v>
      </c>
      <c r="AY76" s="10">
        <f>SUM('Tulumaks 2021-2024'!H76:I76)</f>
        <v>14573180.240000002</v>
      </c>
      <c r="AZ76" s="10">
        <v>6893196</v>
      </c>
      <c r="BA76" s="10">
        <f t="shared" si="31"/>
        <v>60314.400246165729</v>
      </c>
      <c r="BB76" s="10"/>
      <c r="BC76" s="10">
        <f t="shared" si="32"/>
        <v>3068748</v>
      </c>
      <c r="BD76" s="10">
        <v>2349241</v>
      </c>
      <c r="BE76" s="10">
        <f t="shared" si="33"/>
        <v>719507</v>
      </c>
      <c r="BF76" s="5"/>
      <c r="BG76" s="5"/>
      <c r="BH76" s="112"/>
      <c r="BI76" s="112"/>
      <c r="BL76" s="56"/>
      <c r="BM76" s="56"/>
    </row>
    <row r="77" spans="1:65" ht="15" x14ac:dyDescent="0.25">
      <c r="A77" s="20" t="s">
        <v>6</v>
      </c>
      <c r="B77" s="21" t="s">
        <v>5</v>
      </c>
      <c r="C77" s="21" t="s">
        <v>5</v>
      </c>
      <c r="D77" s="10">
        <f>'Tulumaks 2021-2024'!D77*0.025*'Tulumaks 2021-2024'!D$85</f>
        <v>775565.87135362171</v>
      </c>
      <c r="E77" s="10">
        <f>'Tulumaks 2021-2024'!E77*0.025*'Tulumaks 2021-2024'!E$85</f>
        <v>820845.62625163642</v>
      </c>
      <c r="F77" s="10">
        <f>'Tulumaks 2021-2024'!F77*0.025*'Tulumaks 2021-2024'!F$85</f>
        <v>951060.43003846798</v>
      </c>
      <c r="G77" s="10">
        <v>14832709.386287624</v>
      </c>
      <c r="H77" s="10">
        <v>16037475.566053513</v>
      </c>
      <c r="I77" s="10">
        <f>'Tulumaks 2021-2024'!O77/11.96*11.89</f>
        <v>17397842.676421404</v>
      </c>
      <c r="J77" s="10">
        <v>163176.88970000119</v>
      </c>
      <c r="K77" s="4">
        <f t="shared" si="24"/>
        <v>17516779.852149732</v>
      </c>
      <c r="L77" s="10">
        <v>1244</v>
      </c>
      <c r="M77" s="10">
        <v>2325</v>
      </c>
      <c r="N77" s="10">
        <v>1792</v>
      </c>
      <c r="O77" s="10">
        <v>9195</v>
      </c>
      <c r="P77" s="10">
        <v>4086</v>
      </c>
      <c r="Q77" s="10">
        <v>3453</v>
      </c>
      <c r="R77" s="10">
        <v>633</v>
      </c>
      <c r="S77" s="10">
        <f t="shared" si="25"/>
        <v>16850</v>
      </c>
      <c r="T77" s="116">
        <v>1</v>
      </c>
      <c r="U77" s="10">
        <v>121</v>
      </c>
      <c r="V77" s="10">
        <v>1</v>
      </c>
      <c r="W77" s="10">
        <v>12</v>
      </c>
      <c r="X77" s="10">
        <v>0</v>
      </c>
      <c r="Y77" s="3">
        <f t="shared" si="26"/>
        <v>19983018.957953297</v>
      </c>
      <c r="Z77" s="10"/>
      <c r="AA77" s="12">
        <f t="shared" si="17"/>
        <v>2219615</v>
      </c>
      <c r="AB77" s="12">
        <v>0</v>
      </c>
      <c r="AC77" s="12">
        <f t="shared" si="18"/>
        <v>2219615</v>
      </c>
      <c r="AD77" s="12">
        <v>1303</v>
      </c>
      <c r="AE77" s="12">
        <v>2297</v>
      </c>
      <c r="AF77" s="12">
        <v>1792</v>
      </c>
      <c r="AG77" s="12">
        <v>9955</v>
      </c>
      <c r="AH77" s="12">
        <v>4047</v>
      </c>
      <c r="AI77" s="12">
        <f t="shared" si="27"/>
        <v>17602</v>
      </c>
      <c r="AJ77" s="12">
        <f t="shared" si="19"/>
        <v>20634482.327767529</v>
      </c>
      <c r="AK77" s="12">
        <f t="shared" si="20"/>
        <v>2805932</v>
      </c>
      <c r="AL77" s="12">
        <f t="shared" si="28"/>
        <v>117263.40000000001</v>
      </c>
      <c r="AM77" s="7"/>
      <c r="AN77" s="117"/>
      <c r="AO77" s="7"/>
      <c r="AP77" s="10">
        <v>0</v>
      </c>
      <c r="AQ77" s="10">
        <f t="shared" si="21"/>
        <v>0</v>
      </c>
      <c r="AR77" s="10"/>
      <c r="AS77" s="10">
        <f t="shared" si="22"/>
        <v>0</v>
      </c>
      <c r="AT77" s="10">
        <f t="shared" si="23"/>
        <v>0</v>
      </c>
      <c r="AU77" s="10">
        <f t="shared" si="29"/>
        <v>0</v>
      </c>
      <c r="AV77" s="10">
        <f>'Tulumaks 2021-2024'!J77*0.0188*'Tulumaks 2021-2024'!J$85</f>
        <v>811392.1227616847</v>
      </c>
      <c r="AW77" s="10">
        <v>193</v>
      </c>
      <c r="AX77" s="10">
        <f t="shared" si="30"/>
        <v>66371.877238315297</v>
      </c>
      <c r="AY77" s="10">
        <f>SUM('Tulumaks 2021-2024'!H77:I77)</f>
        <v>19597619.200000003</v>
      </c>
      <c r="AZ77" s="10">
        <v>8977304</v>
      </c>
      <c r="BA77" s="10">
        <f t="shared" si="31"/>
        <v>80687.014685744623</v>
      </c>
      <c r="BB77" s="10"/>
      <c r="BC77" s="10">
        <f t="shared" si="32"/>
        <v>2483937</v>
      </c>
      <c r="BD77" s="10">
        <v>1686098</v>
      </c>
      <c r="BE77" s="10">
        <f t="shared" si="33"/>
        <v>797839</v>
      </c>
      <c r="BF77" s="5"/>
      <c r="BG77" s="5"/>
      <c r="BH77" s="112"/>
      <c r="BI77" s="112"/>
      <c r="BL77" s="56"/>
      <c r="BM77" s="56"/>
    </row>
    <row r="78" spans="1:65" ht="15" x14ac:dyDescent="0.25">
      <c r="A78" s="20" t="s">
        <v>1</v>
      </c>
      <c r="B78" s="21" t="s">
        <v>93</v>
      </c>
      <c r="C78" s="21" t="s">
        <v>4</v>
      </c>
      <c r="D78" s="10">
        <f>'Tulumaks 2021-2024'!D78*0.025*'Tulumaks 2021-2024'!D$85</f>
        <v>186677.53679261799</v>
      </c>
      <c r="E78" s="10">
        <f>'Tulumaks 2021-2024'!E78*0.025*'Tulumaks 2021-2024'!E$85</f>
        <v>193990.0416965542</v>
      </c>
      <c r="F78" s="10">
        <f>'Tulumaks 2021-2024'!F78*0.025*'Tulumaks 2021-2024'!F$85</f>
        <v>227309.70094886617</v>
      </c>
      <c r="G78" s="10">
        <v>3309283.2558528427</v>
      </c>
      <c r="H78" s="10">
        <v>3574417.3319397992</v>
      </c>
      <c r="I78" s="10">
        <f>'Tulumaks 2021-2024'!O78/11.96*11.89</f>
        <v>3712113.6722408026</v>
      </c>
      <c r="J78" s="10">
        <v>166258.60860000001</v>
      </c>
      <c r="K78" s="4">
        <f t="shared" si="24"/>
        <v>3965684.6658148328</v>
      </c>
      <c r="L78" s="10">
        <v>234</v>
      </c>
      <c r="M78" s="10">
        <v>510</v>
      </c>
      <c r="N78" s="10">
        <v>356</v>
      </c>
      <c r="O78" s="10">
        <v>2482</v>
      </c>
      <c r="P78" s="10">
        <v>1028</v>
      </c>
      <c r="Q78" s="10">
        <v>866</v>
      </c>
      <c r="R78" s="10">
        <v>162</v>
      </c>
      <c r="S78" s="10">
        <f t="shared" si="25"/>
        <v>4254</v>
      </c>
      <c r="T78" s="116">
        <v>1.88</v>
      </c>
      <c r="U78" s="10">
        <v>85</v>
      </c>
      <c r="V78" s="10">
        <v>4</v>
      </c>
      <c r="W78" s="10">
        <v>1</v>
      </c>
      <c r="X78" s="10">
        <v>1</v>
      </c>
      <c r="Y78" s="3">
        <f t="shared" si="26"/>
        <v>5150937.3841170724</v>
      </c>
      <c r="Z78" s="10"/>
      <c r="AA78" s="12">
        <f t="shared" si="17"/>
        <v>1066727</v>
      </c>
      <c r="AB78" s="12">
        <v>0</v>
      </c>
      <c r="AC78" s="12">
        <f t="shared" si="18"/>
        <v>1066727</v>
      </c>
      <c r="AD78" s="12">
        <v>254</v>
      </c>
      <c r="AE78" s="12">
        <v>517</v>
      </c>
      <c r="AF78" s="12">
        <v>377</v>
      </c>
      <c r="AG78" s="12">
        <v>2768</v>
      </c>
      <c r="AH78" s="12">
        <v>1035</v>
      </c>
      <c r="AI78" s="12">
        <f t="shared" si="27"/>
        <v>4574</v>
      </c>
      <c r="AJ78" s="12">
        <f t="shared" si="19"/>
        <v>5475510.4197718706</v>
      </c>
      <c r="AK78" s="12">
        <f t="shared" si="20"/>
        <v>1358843</v>
      </c>
      <c r="AL78" s="12">
        <f t="shared" si="28"/>
        <v>58423.200000000004</v>
      </c>
      <c r="AM78" s="7"/>
      <c r="AN78" s="117"/>
      <c r="AO78" s="7"/>
      <c r="AP78" s="10">
        <v>0</v>
      </c>
      <c r="AQ78" s="10">
        <f t="shared" si="21"/>
        <v>0</v>
      </c>
      <c r="AR78" s="10"/>
      <c r="AS78" s="10">
        <f t="shared" si="22"/>
        <v>0</v>
      </c>
      <c r="AT78" s="10">
        <f t="shared" si="23"/>
        <v>0</v>
      </c>
      <c r="AU78" s="10">
        <f t="shared" si="29"/>
        <v>0</v>
      </c>
      <c r="AV78" s="10">
        <f>'Tulumaks 2021-2024'!J78*0.0188*'Tulumaks 2021-2024'!J$85</f>
        <v>193928.05646405063</v>
      </c>
      <c r="AW78" s="10">
        <v>58</v>
      </c>
      <c r="AX78" s="10">
        <f t="shared" si="30"/>
        <v>69855.943535949365</v>
      </c>
      <c r="AY78" s="10">
        <f>SUM('Tulumaks 2021-2024'!H78:I78)</f>
        <v>4686850.4399999995</v>
      </c>
      <c r="AZ78" s="10">
        <v>1895275</v>
      </c>
      <c r="BA78" s="10">
        <f t="shared" si="31"/>
        <v>18933.350784831458</v>
      </c>
      <c r="BB78" s="10"/>
      <c r="BC78" s="10">
        <f t="shared" si="32"/>
        <v>1213939</v>
      </c>
      <c r="BD78" s="10">
        <v>951883</v>
      </c>
      <c r="BE78" s="10">
        <f t="shared" si="33"/>
        <v>262056</v>
      </c>
      <c r="BF78" s="5"/>
      <c r="BG78" s="5"/>
      <c r="BH78" s="112"/>
      <c r="BI78" s="112"/>
      <c r="BL78" s="56"/>
      <c r="BM78" s="56"/>
    </row>
    <row r="79" spans="1:65" ht="15" x14ac:dyDescent="0.25">
      <c r="A79" s="20" t="s">
        <v>1</v>
      </c>
      <c r="B79" s="21" t="s">
        <v>92</v>
      </c>
      <c r="C79" s="21" t="s">
        <v>3</v>
      </c>
      <c r="D79" s="10">
        <f>'Tulumaks 2021-2024'!D79*0.025*'Tulumaks 2021-2024'!D$85</f>
        <v>233944.5140865162</v>
      </c>
      <c r="E79" s="10">
        <f>'Tulumaks 2021-2024'!E79*0.025*'Tulumaks 2021-2024'!E$85</f>
        <v>254569.68588615034</v>
      </c>
      <c r="F79" s="10">
        <f>'Tulumaks 2021-2024'!F79*0.025*'Tulumaks 2021-2024'!F$85</f>
        <v>297861.01999344083</v>
      </c>
      <c r="G79" s="10">
        <v>4228459.787625418</v>
      </c>
      <c r="H79" s="10">
        <v>4630391.4949832782</v>
      </c>
      <c r="I79" s="10">
        <f>'Tulumaks 2021-2024'!O79/11.96*11.89</f>
        <v>5002438.1446488295</v>
      </c>
      <c r="J79" s="10">
        <v>358436.71062934701</v>
      </c>
      <c r="K79" s="4">
        <f t="shared" si="24"/>
        <v>5366555.5075536976</v>
      </c>
      <c r="L79" s="10">
        <v>231</v>
      </c>
      <c r="M79" s="10">
        <v>535</v>
      </c>
      <c r="N79" s="10">
        <v>406</v>
      </c>
      <c r="O79" s="10">
        <v>3036</v>
      </c>
      <c r="P79" s="10">
        <v>1304</v>
      </c>
      <c r="Q79" s="10">
        <v>1118</v>
      </c>
      <c r="R79" s="10">
        <v>186</v>
      </c>
      <c r="S79" s="10">
        <f t="shared" si="25"/>
        <v>5106</v>
      </c>
      <c r="T79" s="116">
        <v>2.0499999999999998</v>
      </c>
      <c r="U79" s="10">
        <v>28</v>
      </c>
      <c r="V79" s="10">
        <v>14</v>
      </c>
      <c r="W79" s="10">
        <v>6</v>
      </c>
      <c r="X79" s="10">
        <v>0</v>
      </c>
      <c r="Y79" s="3">
        <f t="shared" si="26"/>
        <v>5967131.7921381416</v>
      </c>
      <c r="Z79" s="10"/>
      <c r="AA79" s="12">
        <f t="shared" si="17"/>
        <v>540519</v>
      </c>
      <c r="AB79" s="12">
        <v>15029.512148397043</v>
      </c>
      <c r="AC79" s="12">
        <f t="shared" si="18"/>
        <v>555548.51214839704</v>
      </c>
      <c r="AD79" s="12">
        <v>314</v>
      </c>
      <c r="AE79" s="12">
        <v>580</v>
      </c>
      <c r="AF79" s="12">
        <v>429</v>
      </c>
      <c r="AG79" s="12">
        <v>3412</v>
      </c>
      <c r="AH79" s="12">
        <v>1217</v>
      </c>
      <c r="AI79" s="12">
        <f t="shared" si="27"/>
        <v>5523</v>
      </c>
      <c r="AJ79" s="12">
        <f t="shared" si="19"/>
        <v>6551928.903590166</v>
      </c>
      <c r="AK79" s="12">
        <f t="shared" si="20"/>
        <v>1066836</v>
      </c>
      <c r="AL79" s="12">
        <f t="shared" si="28"/>
        <v>105263.40000000001</v>
      </c>
      <c r="AM79" s="7"/>
      <c r="AN79" s="117"/>
      <c r="AO79" s="7"/>
      <c r="AP79" s="10">
        <v>0</v>
      </c>
      <c r="AQ79" s="10">
        <f t="shared" si="21"/>
        <v>0</v>
      </c>
      <c r="AR79" s="10"/>
      <c r="AS79" s="10">
        <f t="shared" si="22"/>
        <v>0</v>
      </c>
      <c r="AT79" s="10">
        <f t="shared" si="23"/>
        <v>0</v>
      </c>
      <c r="AU79" s="10">
        <f t="shared" si="29"/>
        <v>0</v>
      </c>
      <c r="AV79" s="10">
        <f>'Tulumaks 2021-2024'!J79*0.0188*'Tulumaks 2021-2024'!J$85</f>
        <v>254118.53723181732</v>
      </c>
      <c r="AW79" s="10">
        <v>60</v>
      </c>
      <c r="AX79" s="10">
        <f t="shared" si="30"/>
        <v>18761.462768182682</v>
      </c>
      <c r="AY79" s="10">
        <f>SUM('Tulumaks 2021-2024'!H79:I79)</f>
        <v>6148668.5300000003</v>
      </c>
      <c r="AZ79" s="10">
        <v>2596745</v>
      </c>
      <c r="BA79" s="10">
        <f t="shared" si="31"/>
        <v>24997.880757249939</v>
      </c>
      <c r="BB79" s="10"/>
      <c r="BC79" s="10">
        <f t="shared" si="32"/>
        <v>704571</v>
      </c>
      <c r="BD79" s="10">
        <v>557880</v>
      </c>
      <c r="BE79" s="10">
        <f t="shared" si="33"/>
        <v>146691</v>
      </c>
      <c r="BF79" s="5"/>
      <c r="BG79" s="5"/>
      <c r="BH79" s="112"/>
      <c r="BI79" s="112"/>
      <c r="BL79" s="56"/>
      <c r="BM79" s="56"/>
    </row>
    <row r="80" spans="1:65" ht="15" x14ac:dyDescent="0.25">
      <c r="A80" s="20" t="s">
        <v>1</v>
      </c>
      <c r="B80" s="21" t="s">
        <v>230</v>
      </c>
      <c r="C80" s="21" t="s">
        <v>2</v>
      </c>
      <c r="D80" s="10">
        <f>'Tulumaks 2021-2024'!D80*0.025*'Tulumaks 2021-2024'!D$85</f>
        <v>130341.34149900461</v>
      </c>
      <c r="E80" s="10">
        <f>'Tulumaks 2021-2024'!E80*0.025*'Tulumaks 2021-2024'!E$85</f>
        <v>134626.89359024199</v>
      </c>
      <c r="F80" s="10">
        <f>'Tulumaks 2021-2024'!F80*0.025*'Tulumaks 2021-2024'!F$85</f>
        <v>154251.25348872825</v>
      </c>
      <c r="G80" s="10">
        <v>2296206.5426421403</v>
      </c>
      <c r="H80" s="10">
        <v>2636882.8787625418</v>
      </c>
      <c r="I80" s="10">
        <f>'Tulumaks 2021-2024'!O80/11.96*11.89</f>
        <v>2854509.6446488295</v>
      </c>
      <c r="J80" s="10">
        <v>182764.586675</v>
      </c>
      <c r="K80" s="4">
        <f t="shared" si="24"/>
        <v>3003907.5442778426</v>
      </c>
      <c r="L80" s="10">
        <v>159</v>
      </c>
      <c r="M80" s="10">
        <v>320</v>
      </c>
      <c r="N80" s="10">
        <v>233</v>
      </c>
      <c r="O80" s="10">
        <v>1920</v>
      </c>
      <c r="P80" s="10">
        <v>738</v>
      </c>
      <c r="Q80" s="10">
        <v>636</v>
      </c>
      <c r="R80" s="10">
        <v>102</v>
      </c>
      <c r="S80" s="10">
        <f t="shared" si="25"/>
        <v>3137</v>
      </c>
      <c r="T80" s="116">
        <v>2.1</v>
      </c>
      <c r="U80" s="10">
        <v>40</v>
      </c>
      <c r="V80" s="10">
        <v>0</v>
      </c>
      <c r="W80" s="10">
        <v>3</v>
      </c>
      <c r="X80" s="10">
        <v>0</v>
      </c>
      <c r="Y80" s="3">
        <f t="shared" si="26"/>
        <v>3709536.7001837557</v>
      </c>
      <c r="Z80" s="10"/>
      <c r="AA80" s="12">
        <f t="shared" si="17"/>
        <v>635066</v>
      </c>
      <c r="AB80" s="12">
        <v>0</v>
      </c>
      <c r="AC80" s="12">
        <f t="shared" si="18"/>
        <v>635066</v>
      </c>
      <c r="AD80" s="12">
        <v>179</v>
      </c>
      <c r="AE80" s="12">
        <v>296</v>
      </c>
      <c r="AF80" s="12">
        <v>224</v>
      </c>
      <c r="AG80" s="12">
        <v>2222</v>
      </c>
      <c r="AH80" s="12">
        <v>758</v>
      </c>
      <c r="AI80" s="12">
        <f t="shared" si="27"/>
        <v>3455</v>
      </c>
      <c r="AJ80" s="12">
        <f t="shared" si="19"/>
        <v>3949823.3737121704</v>
      </c>
      <c r="AK80" s="12">
        <f t="shared" si="20"/>
        <v>851324</v>
      </c>
      <c r="AL80" s="12">
        <f t="shared" si="28"/>
        <v>43251.600000000006</v>
      </c>
      <c r="AM80" s="7"/>
      <c r="AN80" s="117"/>
      <c r="AO80" s="7"/>
      <c r="AP80" s="10">
        <v>0</v>
      </c>
      <c r="AQ80" s="10">
        <f t="shared" si="21"/>
        <v>0</v>
      </c>
      <c r="AR80" s="10"/>
      <c r="AS80" s="10">
        <f t="shared" si="22"/>
        <v>0</v>
      </c>
      <c r="AT80" s="10">
        <f t="shared" si="23"/>
        <v>0</v>
      </c>
      <c r="AU80" s="10">
        <f t="shared" si="29"/>
        <v>0</v>
      </c>
      <c r="AV80" s="10">
        <f>'Tulumaks 2021-2024'!J80*0.0188*'Tulumaks 2021-2024'!J$85</f>
        <v>131598.63248837681</v>
      </c>
      <c r="AW80" s="10">
        <v>47</v>
      </c>
      <c r="AX80" s="10">
        <f t="shared" si="30"/>
        <v>82157.36751162319</v>
      </c>
      <c r="AY80" s="10">
        <f>SUM('Tulumaks 2021-2024'!H80:I80)</f>
        <v>3172762.3100000005</v>
      </c>
      <c r="AZ80" s="10">
        <v>1484581</v>
      </c>
      <c r="BA80" s="10">
        <f t="shared" si="31"/>
        <v>13107.878347727135</v>
      </c>
      <c r="BB80" s="10"/>
      <c r="BC80" s="10">
        <f t="shared" si="32"/>
        <v>773583</v>
      </c>
      <c r="BD80" s="10">
        <v>588699</v>
      </c>
      <c r="BE80" s="10">
        <f t="shared" si="33"/>
        <v>184884</v>
      </c>
      <c r="BF80" s="5"/>
      <c r="BG80" s="5"/>
      <c r="BH80" s="112"/>
      <c r="BI80" s="112"/>
      <c r="BL80" s="56"/>
      <c r="BM80" s="56"/>
    </row>
    <row r="81" spans="1:65" ht="15" x14ac:dyDescent="0.25">
      <c r="A81" s="20" t="s">
        <v>1</v>
      </c>
      <c r="B81" s="21" t="s">
        <v>91</v>
      </c>
      <c r="C81" s="21" t="s">
        <v>1</v>
      </c>
      <c r="D81" s="10">
        <f>'Tulumaks 2021-2024'!D81*0.025*'Tulumaks 2021-2024'!D$85</f>
        <v>417554.39242848736</v>
      </c>
      <c r="E81" s="10">
        <f>'Tulumaks 2021-2024'!E81*0.025*'Tulumaks 2021-2024'!E$85</f>
        <v>440958.12063899421</v>
      </c>
      <c r="F81" s="10">
        <f>'Tulumaks 2021-2024'!F81*0.025*'Tulumaks 2021-2024'!F$85</f>
        <v>514693.58580156771</v>
      </c>
      <c r="G81" s="10">
        <v>8534939.25</v>
      </c>
      <c r="H81" s="10">
        <v>9231003.3118729107</v>
      </c>
      <c r="I81" s="10">
        <f>'Tulumaks 2021-2024'!O81/11.96*11.89</f>
        <v>9962794.040133778</v>
      </c>
      <c r="J81" s="10">
        <v>447956.96772499988</v>
      </c>
      <c r="K81" s="4">
        <f t="shared" si="24"/>
        <v>10378787.93893194</v>
      </c>
      <c r="L81" s="10">
        <v>692</v>
      </c>
      <c r="M81" s="10">
        <v>1470</v>
      </c>
      <c r="N81" s="10">
        <v>1079</v>
      </c>
      <c r="O81" s="10">
        <v>6293</v>
      </c>
      <c r="P81" s="10">
        <v>2231</v>
      </c>
      <c r="Q81" s="10">
        <v>1917</v>
      </c>
      <c r="R81" s="10">
        <v>314</v>
      </c>
      <c r="S81" s="10">
        <f t="shared" si="25"/>
        <v>10686</v>
      </c>
      <c r="T81" s="116">
        <v>2</v>
      </c>
      <c r="U81" s="10">
        <v>108</v>
      </c>
      <c r="V81" s="10">
        <v>19</v>
      </c>
      <c r="W81" s="10">
        <v>7</v>
      </c>
      <c r="X81" s="10">
        <v>1</v>
      </c>
      <c r="Y81" s="3">
        <f t="shared" si="26"/>
        <v>13607305.45826542</v>
      </c>
      <c r="Z81" s="10"/>
      <c r="AA81" s="12">
        <f t="shared" si="17"/>
        <v>2905666</v>
      </c>
      <c r="AB81" s="12">
        <v>0</v>
      </c>
      <c r="AC81" s="12">
        <f t="shared" si="18"/>
        <v>2905666</v>
      </c>
      <c r="AD81" s="12">
        <v>720</v>
      </c>
      <c r="AE81" s="12">
        <v>1424</v>
      </c>
      <c r="AF81" s="12">
        <v>1056</v>
      </c>
      <c r="AG81" s="12">
        <v>6624</v>
      </c>
      <c r="AH81" s="12">
        <v>2129</v>
      </c>
      <c r="AI81" s="12">
        <f t="shared" si="27"/>
        <v>10897</v>
      </c>
      <c r="AJ81" s="12">
        <f t="shared" si="19"/>
        <v>13737470.451157959</v>
      </c>
      <c r="AK81" s="12">
        <f t="shared" si="20"/>
        <v>3022814</v>
      </c>
      <c r="AL81" s="12">
        <f t="shared" si="28"/>
        <v>23429.600000000002</v>
      </c>
      <c r="AM81" s="7"/>
      <c r="AN81" s="117"/>
      <c r="AO81" s="7"/>
      <c r="AP81" s="10">
        <v>498</v>
      </c>
      <c r="AQ81" s="10">
        <f t="shared" si="21"/>
        <v>356</v>
      </c>
      <c r="AR81" s="10"/>
      <c r="AS81" s="10">
        <f t="shared" si="22"/>
        <v>0</v>
      </c>
      <c r="AT81" s="10">
        <f t="shared" si="23"/>
        <v>0</v>
      </c>
      <c r="AU81" s="10">
        <f t="shared" si="29"/>
        <v>0</v>
      </c>
      <c r="AV81" s="10">
        <f>'Tulumaks 2021-2024'!J81*0.0188*'Tulumaks 2021-2024'!J$85</f>
        <v>439108.08184761275</v>
      </c>
      <c r="AW81" s="10">
        <v>126</v>
      </c>
      <c r="AX81" s="10">
        <f t="shared" si="30"/>
        <v>133939.91815238725</v>
      </c>
      <c r="AY81" s="10">
        <f>SUM('Tulumaks 2021-2024'!H81:I81)</f>
        <v>10633173.379999999</v>
      </c>
      <c r="AZ81" s="10">
        <v>5117846</v>
      </c>
      <c r="BA81" s="10">
        <f t="shared" si="31"/>
        <v>44135.235770126783</v>
      </c>
      <c r="BB81" s="10"/>
      <c r="BC81" s="10">
        <f t="shared" si="32"/>
        <v>3107527</v>
      </c>
      <c r="BD81" s="10">
        <v>2467832</v>
      </c>
      <c r="BE81" s="10">
        <f t="shared" si="33"/>
        <v>639695</v>
      </c>
      <c r="BF81" s="5"/>
      <c r="BG81" s="5"/>
      <c r="BH81" s="112"/>
      <c r="BI81" s="112"/>
      <c r="BL81" s="56"/>
      <c r="BM81" s="56"/>
    </row>
    <row r="82" spans="1:65" ht="15" x14ac:dyDescent="0.25">
      <c r="A82" s="20" t="s">
        <v>1</v>
      </c>
      <c r="B82" s="21" t="s">
        <v>0</v>
      </c>
      <c r="C82" s="21" t="s">
        <v>0</v>
      </c>
      <c r="D82" s="10">
        <f>'Tulumaks 2021-2024'!D82*0.025*'Tulumaks 2021-2024'!D$85</f>
        <v>536078.22382862691</v>
      </c>
      <c r="E82" s="10">
        <f>'Tulumaks 2021-2024'!E82*0.025*'Tulumaks 2021-2024'!E$85</f>
        <v>566263.91420479852</v>
      </c>
      <c r="F82" s="10">
        <f>'Tulumaks 2021-2024'!F82*0.025*'Tulumaks 2021-2024'!F$85</f>
        <v>652705.54068915977</v>
      </c>
      <c r="G82" s="10">
        <v>8879413.2282608692</v>
      </c>
      <c r="H82" s="10">
        <v>9704456.9481605347</v>
      </c>
      <c r="I82" s="10">
        <f>'Tulumaks 2021-2024'!O82/11.96*11.89</f>
        <v>10574612.08361204</v>
      </c>
      <c r="J82" s="10">
        <v>105093.92754999976</v>
      </c>
      <c r="K82" s="4">
        <f t="shared" si="24"/>
        <v>10683067.288828097</v>
      </c>
      <c r="L82" s="10">
        <v>852</v>
      </c>
      <c r="M82" s="10">
        <v>1489</v>
      </c>
      <c r="N82" s="10">
        <v>1113</v>
      </c>
      <c r="O82" s="10">
        <v>6334</v>
      </c>
      <c r="P82" s="10">
        <v>2811</v>
      </c>
      <c r="Q82" s="10">
        <v>2373</v>
      </c>
      <c r="R82" s="10">
        <v>438</v>
      </c>
      <c r="S82" s="10">
        <f t="shared" si="25"/>
        <v>11486</v>
      </c>
      <c r="T82" s="116">
        <v>1</v>
      </c>
      <c r="U82" s="10">
        <v>74</v>
      </c>
      <c r="V82" s="10">
        <v>71</v>
      </c>
      <c r="W82" s="10">
        <v>9</v>
      </c>
      <c r="X82" s="10">
        <v>0</v>
      </c>
      <c r="Y82" s="3">
        <f t="shared" si="26"/>
        <v>13494736.535951283</v>
      </c>
      <c r="Z82" s="10"/>
      <c r="AA82" s="12">
        <f t="shared" si="17"/>
        <v>2530502</v>
      </c>
      <c r="AB82" s="12">
        <v>0</v>
      </c>
      <c r="AC82" s="12">
        <f t="shared" si="18"/>
        <v>2530502</v>
      </c>
      <c r="AD82" s="12">
        <v>810</v>
      </c>
      <c r="AE82" s="12">
        <v>1421</v>
      </c>
      <c r="AF82" s="12">
        <v>1091</v>
      </c>
      <c r="AG82" s="12">
        <v>7024</v>
      </c>
      <c r="AH82" s="12">
        <v>2806</v>
      </c>
      <c r="AI82" s="12">
        <f t="shared" si="27"/>
        <v>12061</v>
      </c>
      <c r="AJ82" s="12">
        <f t="shared" si="19"/>
        <v>13667042.779913202</v>
      </c>
      <c r="AK82" s="12">
        <f t="shared" si="20"/>
        <v>2685578</v>
      </c>
      <c r="AL82" s="12">
        <f t="shared" si="28"/>
        <v>31015.200000000001</v>
      </c>
      <c r="AM82" s="7"/>
      <c r="AN82" s="117"/>
      <c r="AO82" s="7"/>
      <c r="AP82" s="10">
        <v>0</v>
      </c>
      <c r="AQ82" s="10">
        <f t="shared" si="21"/>
        <v>0</v>
      </c>
      <c r="AR82" s="10"/>
      <c r="AS82" s="10">
        <f t="shared" si="22"/>
        <v>0</v>
      </c>
      <c r="AT82" s="10">
        <f t="shared" si="23"/>
        <v>0</v>
      </c>
      <c r="AU82" s="10">
        <f t="shared" si="29"/>
        <v>0</v>
      </c>
      <c r="AV82" s="10">
        <f>'Tulumaks 2021-2024'!J82*0.0188*'Tulumaks 2021-2024'!J$85</f>
        <v>556852.24352848914</v>
      </c>
      <c r="AW82" s="10">
        <v>139</v>
      </c>
      <c r="AX82" s="10">
        <f t="shared" si="30"/>
        <v>75319.75647151086</v>
      </c>
      <c r="AY82" s="10">
        <f>SUM('Tulumaks 2021-2024'!H82:I82)</f>
        <v>13399711.750000002</v>
      </c>
      <c r="AZ82" s="10">
        <v>5433469</v>
      </c>
      <c r="BA82" s="10">
        <f>AY82/AY$83*AY$84+AZ82/AZ$83*AZ$84</f>
        <v>54151.946212097275</v>
      </c>
      <c r="BB82" s="10"/>
      <c r="BC82" s="10">
        <f t="shared" si="32"/>
        <v>2690989</v>
      </c>
      <c r="BD82" s="10">
        <v>2186764</v>
      </c>
      <c r="BE82" s="10">
        <f t="shared" si="33"/>
        <v>504225</v>
      </c>
      <c r="BF82" s="5"/>
      <c r="BG82" s="5"/>
      <c r="BH82" s="112"/>
      <c r="BI82" s="112"/>
      <c r="BL82" s="56"/>
      <c r="BM82" s="56"/>
    </row>
    <row r="83" spans="1:65" ht="15" x14ac:dyDescent="0.25">
      <c r="A83" s="238" t="s">
        <v>149</v>
      </c>
      <c r="B83" s="238"/>
      <c r="C83" s="238"/>
      <c r="D83" s="59">
        <f t="shared" ref="D83:S83" si="34">SUM(D4:D82)</f>
        <v>51847681.072250001</v>
      </c>
      <c r="E83" s="59">
        <f t="shared" si="34"/>
        <v>55170739.307500012</v>
      </c>
      <c r="F83" s="59">
        <f t="shared" si="34"/>
        <v>64151270.081750005</v>
      </c>
      <c r="G83" s="59">
        <f t="shared" si="34"/>
        <v>1347061517.3887963</v>
      </c>
      <c r="H83" s="59">
        <f t="shared" si="34"/>
        <v>1516758636.496655</v>
      </c>
      <c r="I83" s="59">
        <f t="shared" si="34"/>
        <v>1678638277.4456522</v>
      </c>
      <c r="J83" s="59">
        <f t="shared" si="34"/>
        <v>62302344.119130284</v>
      </c>
      <c r="K83" s="59">
        <f t="shared" si="34"/>
        <v>1685057770.316288</v>
      </c>
      <c r="L83" s="59">
        <f t="shared" si="34"/>
        <v>95115</v>
      </c>
      <c r="M83" s="59">
        <f t="shared" si="34"/>
        <v>186635</v>
      </c>
      <c r="N83" s="59">
        <f t="shared" si="34"/>
        <v>140668</v>
      </c>
      <c r="O83" s="59">
        <f t="shared" si="34"/>
        <v>811327</v>
      </c>
      <c r="P83" s="59">
        <f t="shared" si="34"/>
        <v>280024</v>
      </c>
      <c r="Q83" s="59">
        <f t="shared" si="34"/>
        <v>240709</v>
      </c>
      <c r="R83" s="59">
        <f t="shared" si="34"/>
        <v>39315</v>
      </c>
      <c r="S83" s="59">
        <f t="shared" si="34"/>
        <v>1373101</v>
      </c>
      <c r="T83" s="59"/>
      <c r="U83" s="59">
        <f t="shared" ref="U83:BE83" si="35">SUM(U4:U82)</f>
        <v>18857</v>
      </c>
      <c r="V83" s="59">
        <f t="shared" si="35"/>
        <v>898</v>
      </c>
      <c r="W83" s="59">
        <f t="shared" si="35"/>
        <v>862</v>
      </c>
      <c r="X83" s="59">
        <f t="shared" si="35"/>
        <v>82</v>
      </c>
      <c r="Y83" s="59">
        <f t="shared" si="35"/>
        <v>1641216266.0676634</v>
      </c>
      <c r="Z83" s="59"/>
      <c r="AA83" s="59">
        <f t="shared" si="35"/>
        <v>118319518</v>
      </c>
      <c r="AB83" s="59">
        <f>SUM(AB4:AB82)</f>
        <v>1113075.8069892514</v>
      </c>
      <c r="AC83" s="59">
        <f>SUM(AC4:AC82)</f>
        <v>119432593.80698925</v>
      </c>
      <c r="AD83" s="59">
        <f t="shared" ref="AD83:AL83" si="36">SUM(AD4:AD82)</f>
        <v>98616</v>
      </c>
      <c r="AE83" s="59">
        <f t="shared" si="36"/>
        <v>169541</v>
      </c>
      <c r="AF83" s="59">
        <f t="shared" si="36"/>
        <v>132235</v>
      </c>
      <c r="AG83" s="59">
        <f t="shared" si="36"/>
        <v>828594</v>
      </c>
      <c r="AH83" s="59">
        <f t="shared" si="36"/>
        <v>262991</v>
      </c>
      <c r="AI83" s="59">
        <f t="shared" si="36"/>
        <v>1359742</v>
      </c>
      <c r="AJ83" s="59">
        <f t="shared" si="36"/>
        <v>1622332664.1236477</v>
      </c>
      <c r="AK83" s="59">
        <f t="shared" si="36"/>
        <v>123870193</v>
      </c>
      <c r="AL83" s="59">
        <f t="shared" si="36"/>
        <v>3772361.2</v>
      </c>
      <c r="AM83" s="59">
        <f t="shared" si="35"/>
        <v>1836</v>
      </c>
      <c r="AN83" s="118">
        <f t="shared" si="35"/>
        <v>205.4</v>
      </c>
      <c r="AO83" s="59">
        <f t="shared" si="35"/>
        <v>893506.62362139451</v>
      </c>
      <c r="AP83" s="59">
        <f t="shared" si="35"/>
        <v>343651</v>
      </c>
      <c r="AQ83" s="59">
        <f t="shared" si="35"/>
        <v>245712</v>
      </c>
      <c r="AR83" s="59">
        <f t="shared" si="35"/>
        <v>93</v>
      </c>
      <c r="AS83" s="59">
        <f t="shared" si="35"/>
        <v>647280</v>
      </c>
      <c r="AT83" s="59">
        <f t="shared" si="35"/>
        <v>0</v>
      </c>
      <c r="AU83" s="59">
        <f t="shared" si="35"/>
        <v>0</v>
      </c>
      <c r="AV83" s="59">
        <f t="shared" si="35"/>
        <v>54730313.201427102</v>
      </c>
      <c r="AW83" s="59">
        <f t="shared" si="35"/>
        <v>10418</v>
      </c>
      <c r="AX83" s="59">
        <f t="shared" si="35"/>
        <v>3622546.7166882609</v>
      </c>
      <c r="AY83" s="59">
        <f t="shared" si="35"/>
        <v>1322339702.74</v>
      </c>
      <c r="AZ83" s="59">
        <f t="shared" si="35"/>
        <v>859782746</v>
      </c>
      <c r="BA83" s="59">
        <f t="shared" si="35"/>
        <v>5811000</v>
      </c>
      <c r="BB83" s="59">
        <f t="shared" si="35"/>
        <v>701000</v>
      </c>
      <c r="BC83" s="59">
        <f t="shared" si="35"/>
        <v>135126000</v>
      </c>
      <c r="BD83" s="59">
        <f t="shared" si="35"/>
        <v>107370000</v>
      </c>
      <c r="BE83" s="59">
        <f t="shared" si="35"/>
        <v>27756000</v>
      </c>
      <c r="BF83" s="5"/>
      <c r="BG83" s="5"/>
      <c r="BH83" s="112"/>
      <c r="BI83" s="112"/>
    </row>
    <row r="84" spans="1:65" x14ac:dyDescent="0.2">
      <c r="D84" s="93"/>
      <c r="E84" s="93"/>
      <c r="F84" s="119"/>
      <c r="G84" s="119"/>
      <c r="H84" s="119"/>
      <c r="I84" s="119"/>
      <c r="J84" s="93"/>
      <c r="K84" s="5"/>
      <c r="L84" s="79"/>
      <c r="M84" s="79"/>
      <c r="N84" s="79"/>
      <c r="O84" s="79"/>
      <c r="P84" s="79"/>
      <c r="Q84" s="79"/>
      <c r="R84" s="79"/>
      <c r="S84" s="79"/>
      <c r="U84" s="5"/>
      <c r="Y84" s="5"/>
      <c r="AA84" s="11">
        <v>0.9</v>
      </c>
      <c r="AD84" s="120"/>
      <c r="AE84" s="120"/>
      <c r="AF84" s="120"/>
      <c r="AG84" s="120"/>
      <c r="AH84" s="120"/>
      <c r="AI84" s="120"/>
      <c r="AJ84" s="120"/>
      <c r="AK84" s="120"/>
      <c r="AL84" s="121">
        <v>0.2</v>
      </c>
      <c r="AQ84" s="122">
        <v>0.71499999999999997</v>
      </c>
      <c r="AR84" s="122"/>
      <c r="AT84" s="161">
        <v>0</v>
      </c>
      <c r="AY84" s="5">
        <v>4570000</v>
      </c>
      <c r="AZ84" s="5">
        <v>1241000</v>
      </c>
      <c r="BB84" s="1" t="s">
        <v>392</v>
      </c>
      <c r="BC84" s="5">
        <f>107440000+7690000+11656000+8340000</f>
        <v>135126000</v>
      </c>
      <c r="BF84" s="5"/>
    </row>
    <row r="85" spans="1:65" ht="15" x14ac:dyDescent="0.25">
      <c r="C85" s="210" t="s">
        <v>90</v>
      </c>
      <c r="D85" s="262" t="s">
        <v>153</v>
      </c>
      <c r="E85" s="263"/>
      <c r="F85" s="263"/>
      <c r="G85" s="263"/>
      <c r="H85" s="263"/>
      <c r="I85" s="263"/>
      <c r="J85" s="263"/>
      <c r="K85" s="263"/>
      <c r="L85" s="263"/>
      <c r="M85" s="264"/>
      <c r="U85" s="5"/>
      <c r="BB85" s="1" t="s">
        <v>85</v>
      </c>
      <c r="BC85" s="93">
        <f>BC84-BC83</f>
        <v>0</v>
      </c>
      <c r="BF85" s="5"/>
    </row>
    <row r="86" spans="1:65" x14ac:dyDescent="0.2">
      <c r="C86" s="210"/>
      <c r="D86" s="16">
        <v>2015</v>
      </c>
      <c r="E86" s="16">
        <v>2016</v>
      </c>
      <c r="F86" s="16">
        <v>2017</v>
      </c>
      <c r="G86" s="16">
        <v>2018</v>
      </c>
      <c r="H86" s="16">
        <v>2019</v>
      </c>
      <c r="I86" s="16">
        <v>2020</v>
      </c>
      <c r="J86" s="16">
        <v>2021</v>
      </c>
      <c r="K86" s="16">
        <v>2022</v>
      </c>
      <c r="L86" s="123">
        <v>2023</v>
      </c>
      <c r="M86" s="81">
        <v>2024</v>
      </c>
      <c r="R86" s="5"/>
      <c r="Y86" s="5"/>
      <c r="AA86" s="1">
        <f>COUNTIF(AA4:AA82,"&gt;0")</f>
        <v>63</v>
      </c>
      <c r="AL86" s="1">
        <f>COUNTIF(AL4:AL82,"&gt;0")</f>
        <v>39</v>
      </c>
      <c r="AQ86" s="1">
        <f>COUNTIF(AQ4:AQ82,"&gt;0")</f>
        <v>32</v>
      </c>
      <c r="AW86" s="1" t="s">
        <v>429</v>
      </c>
      <c r="AX86" s="5">
        <f>AS83</f>
        <v>647280</v>
      </c>
      <c r="BF86" s="5"/>
    </row>
    <row r="87" spans="1:65" x14ac:dyDescent="0.2">
      <c r="C87" s="7" t="s">
        <v>298</v>
      </c>
      <c r="D87" s="10">
        <v>1242.5102159999999</v>
      </c>
      <c r="E87" s="10">
        <f>ROUND(D87*E$105,6)</f>
        <v>1325.350261</v>
      </c>
      <c r="F87" s="10">
        <f>ROUND(E87*F$105,6)</f>
        <v>1395.2565870000001</v>
      </c>
      <c r="G87" s="10">
        <f>F87*G$105*G$105</f>
        <v>2046.5812165693364</v>
      </c>
      <c r="H87" s="10">
        <f>D108*H$105+K120</f>
        <v>2866.3307733061083</v>
      </c>
      <c r="I87" s="10">
        <f>$D108*I$105+L120</f>
        <v>3168.6827130848155</v>
      </c>
      <c r="J87" s="10">
        <f t="shared" ref="J87:M93" si="37">I87*J$105</f>
        <v>3325.7993643345617</v>
      </c>
      <c r="K87" s="10">
        <f t="shared" si="37"/>
        <v>3491.1767551559924</v>
      </c>
      <c r="L87" s="10">
        <f t="shared" si="37"/>
        <v>3671.8499470174702</v>
      </c>
      <c r="M87" s="10">
        <f t="shared" si="37"/>
        <v>3990.9134094267811</v>
      </c>
      <c r="O87" s="124"/>
      <c r="R87" s="5"/>
      <c r="Y87" s="5"/>
      <c r="Z87" s="107" t="s">
        <v>386</v>
      </c>
      <c r="AA87" s="125">
        <f>AA86/79</f>
        <v>0.79746835443037978</v>
      </c>
      <c r="AD87" s="56"/>
      <c r="AE87" s="56"/>
      <c r="AF87" s="56"/>
      <c r="AG87" s="56"/>
      <c r="AH87" s="56"/>
      <c r="AI87" s="56"/>
      <c r="AJ87" s="56"/>
      <c r="AK87" s="56"/>
      <c r="AL87" s="125">
        <f>AL86/79</f>
        <v>0.49367088607594939</v>
      </c>
      <c r="AQ87" s="125">
        <f>AQ86/79</f>
        <v>0.4050632911392405</v>
      </c>
      <c r="AW87" s="1" t="s">
        <v>430</v>
      </c>
      <c r="AX87" s="5">
        <f>AU83</f>
        <v>0</v>
      </c>
      <c r="BB87" s="1" t="s">
        <v>431</v>
      </c>
      <c r="BC87" s="1" t="s">
        <v>432</v>
      </c>
      <c r="BD87" s="1" t="s">
        <v>518</v>
      </c>
      <c r="BF87" s="5"/>
    </row>
    <row r="88" spans="1:65" x14ac:dyDescent="0.2">
      <c r="C88" s="7" t="s">
        <v>299</v>
      </c>
      <c r="D88" s="10">
        <v>988.06748200000004</v>
      </c>
      <c r="E88" s="10">
        <f>ROUND(D88*E$105,6)</f>
        <v>1053.9434429999999</v>
      </c>
      <c r="F88" s="10">
        <f>ROUND(E88*F$105,6)</f>
        <v>1109.5342680000001</v>
      </c>
      <c r="G88" s="10">
        <f>F88*G$105-G89+J119</f>
        <v>506.64194583018127</v>
      </c>
      <c r="H88" s="10">
        <f>(D109-E109)*H105+J119*K108+K120</f>
        <v>467.4967095031671</v>
      </c>
      <c r="I88" s="10">
        <f>($D109-$E109)*I105+L119+L120</f>
        <v>514.71484679840512</v>
      </c>
      <c r="J88" s="10">
        <f t="shared" si="37"/>
        <v>540.23657945517903</v>
      </c>
      <c r="K88" s="10">
        <f t="shared" si="37"/>
        <v>567.1001710760969</v>
      </c>
      <c r="L88" s="10">
        <f t="shared" si="37"/>
        <v>596.44838378465977</v>
      </c>
      <c r="M88" s="10">
        <f t="shared" si="37"/>
        <v>648.27645116888118</v>
      </c>
      <c r="AW88" s="1" t="s">
        <v>433</v>
      </c>
      <c r="AX88" s="5">
        <f>AX83</f>
        <v>3622546.7166882609</v>
      </c>
      <c r="BB88" s="1" t="s">
        <v>434</v>
      </c>
      <c r="BC88" s="5">
        <f>AA83</f>
        <v>118319518</v>
      </c>
      <c r="BD88" s="79">
        <f>BC88/BC$96</f>
        <v>0.87562362310655872</v>
      </c>
      <c r="BF88" s="5"/>
    </row>
    <row r="89" spans="1:65" ht="12.75" customHeight="1" x14ac:dyDescent="0.2">
      <c r="C89" s="7" t="s">
        <v>333</v>
      </c>
      <c r="D89" s="10"/>
      <c r="E89" s="10"/>
      <c r="F89" s="10"/>
      <c r="G89" s="10">
        <v>862.23804839752961</v>
      </c>
      <c r="H89" s="10">
        <f>E109*H105</f>
        <v>1186.5776371899185</v>
      </c>
      <c r="I89" s="10">
        <f>$E109*I105</f>
        <v>1311.8129167445013</v>
      </c>
      <c r="J89" s="10">
        <f t="shared" si="37"/>
        <v>1376.8581330717636</v>
      </c>
      <c r="K89" s="10">
        <f t="shared" si="37"/>
        <v>1445.3232389409006</v>
      </c>
      <c r="L89" s="10">
        <f t="shared" si="37"/>
        <v>1520.1207015630284</v>
      </c>
      <c r="M89" s="10">
        <f t="shared" si="37"/>
        <v>1652.2107873016173</v>
      </c>
      <c r="AK89" s="258" t="s">
        <v>147</v>
      </c>
      <c r="AL89" s="258" t="s">
        <v>279</v>
      </c>
      <c r="AM89" s="258" t="s">
        <v>494</v>
      </c>
      <c r="AN89" s="265" t="s">
        <v>291</v>
      </c>
      <c r="AO89" s="258" t="s">
        <v>292</v>
      </c>
      <c r="AP89" s="259" t="s">
        <v>149</v>
      </c>
      <c r="AW89" s="1" t="s">
        <v>435</v>
      </c>
      <c r="AX89" s="5">
        <f>SUM(AX86:AX88)</f>
        <v>4269826.7166882604</v>
      </c>
      <c r="BB89" s="1" t="s">
        <v>519</v>
      </c>
      <c r="BC89" s="5">
        <f>AB83</f>
        <v>1113075.8069892514</v>
      </c>
      <c r="BD89" s="79">
        <f t="shared" ref="BD89:BD96" si="38">BC89/BC$96</f>
        <v>8.2373177932332769E-3</v>
      </c>
      <c r="BF89" s="5"/>
    </row>
    <row r="90" spans="1:65" ht="12.75" customHeight="1" x14ac:dyDescent="0.2">
      <c r="C90" s="7" t="s">
        <v>300</v>
      </c>
      <c r="D90" s="10"/>
      <c r="E90" s="10"/>
      <c r="F90" s="10"/>
      <c r="G90" s="71">
        <v>7.73</v>
      </c>
      <c r="H90" s="71">
        <f>G90*K108</f>
        <v>7.9619000000000009</v>
      </c>
      <c r="I90" s="71">
        <f>H90*L108</f>
        <v>8.2007570000000012</v>
      </c>
      <c r="J90" s="10">
        <f t="shared" si="37"/>
        <v>8.6073851146522706</v>
      </c>
      <c r="K90" s="10">
        <f t="shared" si="37"/>
        <v>9.0353925607181651</v>
      </c>
      <c r="L90" s="10">
        <f t="shared" si="37"/>
        <v>9.5029865349434726</v>
      </c>
      <c r="M90" s="10">
        <v>10.36</v>
      </c>
      <c r="AK90" s="258"/>
      <c r="AL90" s="258"/>
      <c r="AM90" s="258"/>
      <c r="AN90" s="265"/>
      <c r="AO90" s="258"/>
      <c r="AP90" s="260"/>
      <c r="AW90" s="1" t="s">
        <v>437</v>
      </c>
      <c r="AX90" s="5">
        <f>3120000</f>
        <v>3120000</v>
      </c>
      <c r="BB90" s="1" t="s">
        <v>436</v>
      </c>
      <c r="BC90" s="5">
        <f>AL83</f>
        <v>3772361.2</v>
      </c>
      <c r="BD90" s="79">
        <f t="shared" si="38"/>
        <v>2.7917360021789524E-2</v>
      </c>
      <c r="BF90" s="5"/>
    </row>
    <row r="91" spans="1:65" x14ac:dyDescent="0.2">
      <c r="C91" s="7" t="s">
        <v>89</v>
      </c>
      <c r="D91" s="10"/>
      <c r="E91" s="10"/>
      <c r="F91" s="10"/>
      <c r="G91" s="10">
        <v>862.23804839752961</v>
      </c>
      <c r="H91" s="10">
        <f>E110*H105</f>
        <v>1186.5776371899185</v>
      </c>
      <c r="I91" s="10">
        <f>$E110*I105</f>
        <v>1311.8129167445013</v>
      </c>
      <c r="J91" s="10">
        <f t="shared" si="37"/>
        <v>1376.8581330717636</v>
      </c>
      <c r="K91" s="10">
        <f t="shared" si="37"/>
        <v>1445.3232389409006</v>
      </c>
      <c r="L91" s="10">
        <f t="shared" si="37"/>
        <v>1520.1207015630284</v>
      </c>
      <c r="M91" s="10">
        <f t="shared" si="37"/>
        <v>1652.2107873016173</v>
      </c>
      <c r="AK91" s="258"/>
      <c r="AL91" s="258"/>
      <c r="AM91" s="258"/>
      <c r="AN91" s="265"/>
      <c r="AO91" s="258"/>
      <c r="AP91" s="261"/>
      <c r="AW91" s="1" t="s">
        <v>85</v>
      </c>
      <c r="AX91" s="93">
        <f>AX90-AX89</f>
        <v>-1149826.7166882604</v>
      </c>
      <c r="BB91" s="1" t="s">
        <v>438</v>
      </c>
      <c r="BC91" s="5">
        <f>AO83</f>
        <v>893506.62362139451</v>
      </c>
      <c r="BD91" s="79">
        <f t="shared" si="38"/>
        <v>6.6123959957736962E-3</v>
      </c>
      <c r="BF91" s="5"/>
    </row>
    <row r="92" spans="1:65" x14ac:dyDescent="0.2">
      <c r="C92" s="7" t="s">
        <v>88</v>
      </c>
      <c r="D92" s="10">
        <v>409.24775799999998</v>
      </c>
      <c r="E92" s="10">
        <f t="shared" ref="E92:F96" si="39">ROUND(D92*E$105,6)</f>
        <v>436.53292800000003</v>
      </c>
      <c r="F92" s="10">
        <f t="shared" si="39"/>
        <v>459.55809699999998</v>
      </c>
      <c r="G92" s="10">
        <f>F92</f>
        <v>459.55809699999998</v>
      </c>
      <c r="H92" s="10">
        <f>MAX(D111*H105,G92)+K120</f>
        <v>461.80809699999998</v>
      </c>
      <c r="I92" s="10">
        <f>MAX($D111*I105,H92)+L120</f>
        <v>488.08625679840515</v>
      </c>
      <c r="J92" s="10">
        <f t="shared" si="37"/>
        <v>512.28763167021498</v>
      </c>
      <c r="K92" s="10">
        <f t="shared" si="37"/>
        <v>537.76144490869376</v>
      </c>
      <c r="L92" s="10">
        <f t="shared" si="37"/>
        <v>565.59133824428704</v>
      </c>
      <c r="M92" s="106">
        <f>L92*M$105+1.1</f>
        <v>615.83809894879778</v>
      </c>
      <c r="N92" s="1" t="s">
        <v>440</v>
      </c>
      <c r="AK92" s="7" t="s">
        <v>22</v>
      </c>
      <c r="AL92" s="7" t="s">
        <v>280</v>
      </c>
      <c r="AM92" s="7">
        <v>52</v>
      </c>
      <c r="AN92" s="126">
        <v>7.5</v>
      </c>
      <c r="AO92" s="10">
        <f t="shared" ref="AO92:AO108" si="40">IF(AM92&lt;5,AM92/5*M$102,M$102)</f>
        <v>17034.271977729099</v>
      </c>
      <c r="AP92" s="10">
        <f t="shared" ref="AP92:AP107" si="41">AM92*M$100+M$101*AN92+AO92</f>
        <v>35307.997275014364</v>
      </c>
      <c r="BB92" s="1" t="s">
        <v>439</v>
      </c>
      <c r="BC92" s="5">
        <f>AQ83</f>
        <v>245712</v>
      </c>
      <c r="BD92" s="79">
        <f t="shared" si="38"/>
        <v>1.8183917186068892E-3</v>
      </c>
      <c r="BF92" s="5"/>
    </row>
    <row r="93" spans="1:65" x14ac:dyDescent="0.2">
      <c r="C93" s="7" t="s">
        <v>297</v>
      </c>
      <c r="D93" s="10">
        <v>594.47796100000005</v>
      </c>
      <c r="E93" s="10">
        <f t="shared" si="39"/>
        <v>634.11270999999999</v>
      </c>
      <c r="F93" s="10">
        <f t="shared" si="39"/>
        <v>667.55933300000004</v>
      </c>
      <c r="G93" s="10">
        <f>F93</f>
        <v>667.55933300000004</v>
      </c>
      <c r="H93" s="10">
        <f>MAX(D112*H105,G93)+K120</f>
        <v>669.80933300000004</v>
      </c>
      <c r="I93" s="10">
        <f>MAX($D112*I105,H93)+L120</f>
        <v>680.16207946953512</v>
      </c>
      <c r="J93" s="10">
        <f t="shared" si="37"/>
        <v>713.8873836131238</v>
      </c>
      <c r="K93" s="10">
        <f t="shared" si="37"/>
        <v>749.3858668073733</v>
      </c>
      <c r="L93" s="10">
        <f t="shared" si="37"/>
        <v>788.16761462120428</v>
      </c>
      <c r="M93" s="106">
        <f>L93*M$105+12.21</f>
        <v>868.86502334121337</v>
      </c>
      <c r="N93" s="1" t="s">
        <v>440</v>
      </c>
      <c r="AK93" s="7" t="s">
        <v>27</v>
      </c>
      <c r="AL93" s="7" t="s">
        <v>27</v>
      </c>
      <c r="AM93" s="10">
        <v>686</v>
      </c>
      <c r="AN93" s="126">
        <v>16.899999999999999</v>
      </c>
      <c r="AO93" s="10">
        <f t="shared" si="40"/>
        <v>17034.271977729099</v>
      </c>
      <c r="AP93" s="10">
        <f t="shared" si="41"/>
        <v>201102.36952473325</v>
      </c>
      <c r="BB93" s="1" t="s">
        <v>441</v>
      </c>
      <c r="BC93" s="5">
        <f>AS83+AU83+AX83</f>
        <v>4269826.7166882604</v>
      </c>
      <c r="BD93" s="79">
        <f t="shared" si="38"/>
        <v>3.1598853704794136E-2</v>
      </c>
      <c r="BF93" s="5"/>
    </row>
    <row r="94" spans="1:65" x14ac:dyDescent="0.2">
      <c r="C94" s="7" t="s">
        <v>443</v>
      </c>
      <c r="D94" s="10"/>
      <c r="E94" s="10"/>
      <c r="F94" s="10"/>
      <c r="G94" s="10"/>
      <c r="H94" s="10"/>
      <c r="I94" s="10"/>
      <c r="J94" s="10"/>
      <c r="K94" s="10"/>
      <c r="L94" s="10"/>
      <c r="M94" s="10">
        <v>128</v>
      </c>
      <c r="AK94" s="7" t="s">
        <v>30</v>
      </c>
      <c r="AL94" s="7" t="s">
        <v>281</v>
      </c>
      <c r="AM94" s="7">
        <v>47</v>
      </c>
      <c r="AN94" s="126">
        <v>0.9</v>
      </c>
      <c r="AO94" s="10">
        <f t="shared" si="40"/>
        <v>17034.271977729099</v>
      </c>
      <c r="AP94" s="10">
        <f t="shared" si="41"/>
        <v>29466.177517795059</v>
      </c>
      <c r="BB94" s="1" t="s">
        <v>442</v>
      </c>
      <c r="BC94" s="5">
        <f>BA83</f>
        <v>5811000</v>
      </c>
      <c r="BD94" s="79">
        <f t="shared" si="38"/>
        <v>4.3004306980630305E-2</v>
      </c>
      <c r="BF94" s="5"/>
    </row>
    <row r="95" spans="1:65" x14ac:dyDescent="0.2">
      <c r="C95" s="7" t="s">
        <v>445</v>
      </c>
      <c r="D95" s="10"/>
      <c r="E95" s="10"/>
      <c r="F95" s="10"/>
      <c r="G95" s="10"/>
      <c r="H95" s="10"/>
      <c r="I95" s="10"/>
      <c r="J95" s="10"/>
      <c r="K95" s="10"/>
      <c r="L95" s="10"/>
      <c r="M95" s="10">
        <f>M94*4.85</f>
        <v>620.79999999999995</v>
      </c>
      <c r="AK95" s="7" t="s">
        <v>13</v>
      </c>
      <c r="AL95" s="7" t="s">
        <v>282</v>
      </c>
      <c r="AM95" s="10">
        <v>91</v>
      </c>
      <c r="AN95" s="126">
        <v>8.5</v>
      </c>
      <c r="AO95" s="10">
        <f t="shared" si="40"/>
        <v>17034.271977729099</v>
      </c>
      <c r="AP95" s="10">
        <f t="shared" si="41"/>
        <v>45799.755905775106</v>
      </c>
      <c r="BB95" s="1" t="s">
        <v>444</v>
      </c>
      <c r="BC95" s="5">
        <f>BB83</f>
        <v>701000</v>
      </c>
      <c r="BD95" s="79">
        <f t="shared" si="38"/>
        <v>5.1877506786132928E-3</v>
      </c>
      <c r="BF95" s="5"/>
    </row>
    <row r="96" spans="1:65" x14ac:dyDescent="0.2">
      <c r="C96" s="7" t="s">
        <v>87</v>
      </c>
      <c r="D96" s="10">
        <v>4225.7364509999998</v>
      </c>
      <c r="E96" s="10">
        <f t="shared" si="39"/>
        <v>4507.4727229999999</v>
      </c>
      <c r="F96" s="10">
        <f t="shared" si="39"/>
        <v>4745.2218439999997</v>
      </c>
      <c r="G96" s="10">
        <f>F96</f>
        <v>4745.2218439999997</v>
      </c>
      <c r="H96" s="10"/>
      <c r="I96" s="10"/>
      <c r="J96" s="10"/>
      <c r="K96" s="10"/>
      <c r="L96" s="10"/>
      <c r="M96" s="10"/>
      <c r="AK96" s="7" t="s">
        <v>21</v>
      </c>
      <c r="AL96" s="7" t="s">
        <v>283</v>
      </c>
      <c r="AM96" s="10">
        <v>9</v>
      </c>
      <c r="AN96" s="126">
        <v>7.8</v>
      </c>
      <c r="AO96" s="10">
        <f t="shared" si="40"/>
        <v>17034.271977729099</v>
      </c>
      <c r="AP96" s="10">
        <f t="shared" si="41"/>
        <v>24714.688255061337</v>
      </c>
      <c r="BB96" s="1" t="s">
        <v>149</v>
      </c>
      <c r="BC96" s="5">
        <f>SUM(BC88:BC95)</f>
        <v>135126000.34729892</v>
      </c>
      <c r="BD96" s="79">
        <f t="shared" si="38"/>
        <v>1</v>
      </c>
      <c r="BF96" s="5"/>
    </row>
    <row r="97" spans="3:58" x14ac:dyDescent="0.2">
      <c r="C97" s="7" t="s">
        <v>326</v>
      </c>
      <c r="D97" s="10">
        <v>648.74066800000003</v>
      </c>
      <c r="E97" s="10">
        <f>D97</f>
        <v>648.74066800000003</v>
      </c>
      <c r="F97" s="10">
        <f>E97</f>
        <v>648.74066800000003</v>
      </c>
      <c r="G97" s="10">
        <f>F97*0.85</f>
        <v>551.42956779999997</v>
      </c>
      <c r="H97" s="10">
        <f>F97*0.7</f>
        <v>454.11846759999997</v>
      </c>
      <c r="I97" s="10">
        <f>$F97*0.55</f>
        <v>356.80736740000003</v>
      </c>
      <c r="J97" s="10">
        <f>$F97*0.4</f>
        <v>259.49626720000003</v>
      </c>
      <c r="K97" s="10">
        <f>$F97*0.25</f>
        <v>162.18516700000001</v>
      </c>
      <c r="L97" s="10">
        <f>$F97*0.1</f>
        <v>64.874066800000008</v>
      </c>
      <c r="M97" s="10"/>
      <c r="AK97" s="7" t="s">
        <v>22</v>
      </c>
      <c r="AL97" s="7" t="s">
        <v>284</v>
      </c>
      <c r="AM97" s="10">
        <v>8</v>
      </c>
      <c r="AN97" s="126">
        <v>3.5</v>
      </c>
      <c r="AO97" s="10">
        <f t="shared" si="40"/>
        <v>17034.271977729099</v>
      </c>
      <c r="AP97" s="10">
        <f t="shared" si="41"/>
        <v>21475.765315560056</v>
      </c>
      <c r="BF97" s="5"/>
    </row>
    <row r="98" spans="3:58" x14ac:dyDescent="0.2">
      <c r="C98" s="7" t="s">
        <v>327</v>
      </c>
      <c r="D98" s="10"/>
      <c r="E98" s="10"/>
      <c r="F98" s="10"/>
      <c r="G98" s="10"/>
      <c r="H98" s="72">
        <f>2000000/1423</f>
        <v>1405.4813773717499</v>
      </c>
      <c r="I98" s="72">
        <f>$H98*0.85</f>
        <v>1194.6591707659875</v>
      </c>
      <c r="J98" s="72">
        <f>$H98*0.7</f>
        <v>983.83696416022485</v>
      </c>
      <c r="K98" s="72">
        <f>$H98*0.55</f>
        <v>773.01475755446245</v>
      </c>
      <c r="L98" s="72">
        <f>$H98*0.4</f>
        <v>562.19255094869993</v>
      </c>
      <c r="M98" s="72">
        <f>$H98*0.25</f>
        <v>351.37034434293747</v>
      </c>
      <c r="AK98" s="7" t="s">
        <v>70</v>
      </c>
      <c r="AL98" s="7" t="s">
        <v>285</v>
      </c>
      <c r="AM98" s="7">
        <v>205</v>
      </c>
      <c r="AN98" s="126">
        <v>16.600000000000001</v>
      </c>
      <c r="AO98" s="10">
        <f t="shared" si="40"/>
        <v>17034.271977729099</v>
      </c>
      <c r="AP98" s="10">
        <f t="shared" si="41"/>
        <v>80064.995122182183</v>
      </c>
      <c r="BF98" s="5"/>
    </row>
    <row r="99" spans="3:58" x14ac:dyDescent="0.2">
      <c r="C99" s="7" t="s">
        <v>446</v>
      </c>
      <c r="D99" s="10"/>
      <c r="E99" s="10"/>
      <c r="F99" s="10"/>
      <c r="G99" s="10"/>
      <c r="H99" s="72"/>
      <c r="I99" s="72"/>
      <c r="J99" s="72"/>
      <c r="K99" s="72"/>
      <c r="L99" s="72"/>
      <c r="M99" s="127">
        <f>22977*1.029</f>
        <v>23643.332999999999</v>
      </c>
      <c r="AK99" s="7" t="s">
        <v>66</v>
      </c>
      <c r="AL99" s="7" t="s">
        <v>340</v>
      </c>
      <c r="AM99" s="7">
        <v>6</v>
      </c>
      <c r="AN99" s="126">
        <v>7.1</v>
      </c>
      <c r="AO99" s="10">
        <f t="shared" si="40"/>
        <v>17034.271977729099</v>
      </c>
      <c r="AP99" s="10">
        <f t="shared" si="41"/>
        <v>23474.704555450284</v>
      </c>
      <c r="BF99" s="5"/>
    </row>
    <row r="100" spans="3:58" x14ac:dyDescent="0.2">
      <c r="C100" s="7" t="s">
        <v>157</v>
      </c>
      <c r="D100" s="7"/>
      <c r="E100" s="7"/>
      <c r="F100" s="7"/>
      <c r="G100" s="10">
        <v>188</v>
      </c>
      <c r="H100" s="10">
        <f t="shared" ref="H100:I102" si="42">G100*K$108</f>
        <v>193.64000000000001</v>
      </c>
      <c r="I100" s="10">
        <f t="shared" si="42"/>
        <v>199.44920000000002</v>
      </c>
      <c r="J100" s="10">
        <f t="shared" ref="J100:M103" si="43">I100*J$105</f>
        <v>209.33873241327643</v>
      </c>
      <c r="K100" s="10">
        <f t="shared" si="43"/>
        <v>219.74822786740168</v>
      </c>
      <c r="L100" s="10">
        <f t="shared" si="43"/>
        <v>231.12050046175585</v>
      </c>
      <c r="M100" s="10">
        <f t="shared" si="43"/>
        <v>251.20359431775589</v>
      </c>
      <c r="AK100" s="7" t="s">
        <v>19</v>
      </c>
      <c r="AL100" s="7" t="s">
        <v>19</v>
      </c>
      <c r="AM100" s="10">
        <v>165</v>
      </c>
      <c r="AN100" s="126">
        <v>69.7</v>
      </c>
      <c r="AO100" s="10">
        <f t="shared" si="40"/>
        <v>17034.271977729099</v>
      </c>
      <c r="AP100" s="10">
        <f t="shared" si="41"/>
        <v>106911.7111702266</v>
      </c>
      <c r="BF100" s="5"/>
    </row>
    <row r="101" spans="3:58" x14ac:dyDescent="0.2">
      <c r="C101" s="7" t="s">
        <v>158</v>
      </c>
      <c r="D101" s="7"/>
      <c r="E101" s="7"/>
      <c r="F101" s="7"/>
      <c r="G101" s="10">
        <v>520</v>
      </c>
      <c r="H101" s="10">
        <f t="shared" si="42"/>
        <v>535.6</v>
      </c>
      <c r="I101" s="10">
        <f t="shared" si="42"/>
        <v>551.66800000000001</v>
      </c>
      <c r="J101" s="10">
        <f t="shared" si="43"/>
        <v>579.02202582395603</v>
      </c>
      <c r="K101" s="10">
        <f t="shared" si="43"/>
        <v>607.81424729281309</v>
      </c>
      <c r="L101" s="10">
        <f t="shared" si="43"/>
        <v>639.26946936230331</v>
      </c>
      <c r="M101" s="10">
        <f t="shared" si="43"/>
        <v>694.81845236826086</v>
      </c>
      <c r="AK101" s="7" t="s">
        <v>22</v>
      </c>
      <c r="AL101" s="7" t="s">
        <v>286</v>
      </c>
      <c r="AM101" s="7">
        <v>33</v>
      </c>
      <c r="AN101" s="126">
        <v>8</v>
      </c>
      <c r="AO101" s="10">
        <f t="shared" si="40"/>
        <v>17034.271977729099</v>
      </c>
      <c r="AP101" s="10">
        <f t="shared" si="41"/>
        <v>30882.538209161128</v>
      </c>
      <c r="BF101" s="5"/>
    </row>
    <row r="102" spans="3:58" x14ac:dyDescent="0.2">
      <c r="C102" s="7" t="s">
        <v>159</v>
      </c>
      <c r="D102" s="7"/>
      <c r="E102" s="7"/>
      <c r="F102" s="7"/>
      <c r="G102" s="10">
        <v>12000</v>
      </c>
      <c r="H102" s="10">
        <f t="shared" si="42"/>
        <v>12360</v>
      </c>
      <c r="I102" s="10">
        <f t="shared" si="42"/>
        <v>12730.800000000001</v>
      </c>
      <c r="J102" s="10">
        <f t="shared" si="43"/>
        <v>13362.046749783602</v>
      </c>
      <c r="K102" s="10">
        <f t="shared" si="43"/>
        <v>14026.48262983415</v>
      </c>
      <c r="L102" s="10">
        <f t="shared" si="43"/>
        <v>14752.372369899311</v>
      </c>
      <c r="M102" s="106">
        <f>L102*M$105+1000</f>
        <v>17034.271977729099</v>
      </c>
      <c r="AK102" s="7" t="s">
        <v>46</v>
      </c>
      <c r="AL102" s="7" t="s">
        <v>46</v>
      </c>
      <c r="AM102" s="10">
        <v>454</v>
      </c>
      <c r="AN102" s="126">
        <v>9.9</v>
      </c>
      <c r="AO102" s="10">
        <f t="shared" si="40"/>
        <v>17034.271977729099</v>
      </c>
      <c r="AP102" s="10">
        <f t="shared" si="41"/>
        <v>137959.40647643607</v>
      </c>
      <c r="BF102" s="5"/>
    </row>
    <row r="103" spans="3:58" x14ac:dyDescent="0.2">
      <c r="C103" s="7" t="s">
        <v>328</v>
      </c>
      <c r="D103" s="7"/>
      <c r="E103" s="7"/>
      <c r="F103" s="7"/>
      <c r="G103" s="7"/>
      <c r="H103" s="7">
        <v>4800</v>
      </c>
      <c r="I103" s="10">
        <f>H103*L$108</f>
        <v>4944</v>
      </c>
      <c r="J103" s="10">
        <f t="shared" si="43"/>
        <v>5189.1443688480003</v>
      </c>
      <c r="K103" s="10">
        <f t="shared" si="43"/>
        <v>5447.1777203239417</v>
      </c>
      <c r="L103" s="10">
        <f t="shared" si="43"/>
        <v>5729.076648504586</v>
      </c>
      <c r="M103" s="10">
        <f>580*12</f>
        <v>6960</v>
      </c>
      <c r="AK103" s="7" t="s">
        <v>82</v>
      </c>
      <c r="AL103" s="7" t="s">
        <v>287</v>
      </c>
      <c r="AM103" s="10">
        <v>8</v>
      </c>
      <c r="AN103" s="126">
        <v>4</v>
      </c>
      <c r="AO103" s="10">
        <f t="shared" si="40"/>
        <v>17034.271977729099</v>
      </c>
      <c r="AP103" s="10">
        <f t="shared" si="41"/>
        <v>21823.174541744189</v>
      </c>
      <c r="BF103" s="5"/>
    </row>
    <row r="104" spans="3:58" x14ac:dyDescent="0.2">
      <c r="AK104" s="7" t="s">
        <v>70</v>
      </c>
      <c r="AL104" s="7" t="s">
        <v>288</v>
      </c>
      <c r="AM104" s="10">
        <v>5</v>
      </c>
      <c r="AN104" s="126">
        <v>4.5</v>
      </c>
      <c r="AO104" s="10">
        <f t="shared" si="40"/>
        <v>17034.271977729099</v>
      </c>
      <c r="AP104" s="10">
        <f t="shared" si="41"/>
        <v>21416.972984975051</v>
      </c>
      <c r="BF104" s="5"/>
    </row>
    <row r="105" spans="3:58" x14ac:dyDescent="0.2">
      <c r="C105" s="9" t="s">
        <v>86</v>
      </c>
      <c r="D105" s="8">
        <v>1.069073682</v>
      </c>
      <c r="E105" s="8">
        <v>1.0666715200000001</v>
      </c>
      <c r="F105" s="8">
        <v>1.0527455484999999</v>
      </c>
      <c r="G105" s="8">
        <v>1.2111207675</v>
      </c>
      <c r="H105" s="8">
        <v>1.3761601444</v>
      </c>
      <c r="I105" s="128">
        <v>1.5214045810000001</v>
      </c>
      <c r="J105" s="128">
        <v>1.049584217</v>
      </c>
      <c r="K105" s="128">
        <v>1.0497256066</v>
      </c>
      <c r="L105" s="128">
        <v>1.0517513733999999</v>
      </c>
      <c r="M105" s="129">
        <v>1.086894472</v>
      </c>
      <c r="AK105" s="7" t="s">
        <v>72</v>
      </c>
      <c r="AL105" s="7" t="s">
        <v>289</v>
      </c>
      <c r="AM105" s="10">
        <v>24</v>
      </c>
      <c r="AN105" s="126">
        <v>14.4</v>
      </c>
      <c r="AO105" s="10">
        <f t="shared" si="40"/>
        <v>17034.271977729099</v>
      </c>
      <c r="AP105" s="10">
        <f t="shared" si="41"/>
        <v>33068.543955458197</v>
      </c>
      <c r="BF105" s="5"/>
    </row>
    <row r="106" spans="3:58" x14ac:dyDescent="0.2">
      <c r="D106" s="5"/>
      <c r="E106" s="5"/>
      <c r="F106" s="5"/>
      <c r="H106" s="5"/>
      <c r="J106" s="93"/>
      <c r="K106" s="93"/>
      <c r="L106" s="93"/>
      <c r="M106" s="93">
        <f>BC85</f>
        <v>0</v>
      </c>
      <c r="AK106" s="7" t="s">
        <v>70</v>
      </c>
      <c r="AL106" s="7" t="s">
        <v>290</v>
      </c>
      <c r="AM106" s="10">
        <v>31</v>
      </c>
      <c r="AN106" s="126">
        <v>16.899999999999999</v>
      </c>
      <c r="AO106" s="10">
        <f t="shared" si="40"/>
        <v>17034.271977729099</v>
      </c>
      <c r="AP106" s="10">
        <f t="shared" si="41"/>
        <v>36564.015246603143</v>
      </c>
      <c r="BF106" s="5"/>
    </row>
    <row r="107" spans="3:58" x14ac:dyDescent="0.2">
      <c r="C107" s="67" t="s">
        <v>317</v>
      </c>
      <c r="D107" s="67" t="s">
        <v>318</v>
      </c>
      <c r="E107" s="67" t="s">
        <v>319</v>
      </c>
      <c r="F107" s="67"/>
      <c r="G107" s="67"/>
      <c r="H107" s="67"/>
      <c r="I107" s="67"/>
      <c r="J107" s="67"/>
      <c r="K107" s="67"/>
      <c r="L107" s="67"/>
      <c r="M107" s="67"/>
      <c r="AK107" s="7" t="s">
        <v>84</v>
      </c>
      <c r="AL107" s="7" t="s">
        <v>447</v>
      </c>
      <c r="AM107" s="10">
        <v>5</v>
      </c>
      <c r="AN107" s="126">
        <v>4.7</v>
      </c>
      <c r="AO107" s="10">
        <f t="shared" si="40"/>
        <v>17034.271977729099</v>
      </c>
      <c r="AP107" s="10">
        <f t="shared" si="41"/>
        <v>21555.936675448706</v>
      </c>
      <c r="BF107" s="5"/>
    </row>
    <row r="108" spans="3:58" x14ac:dyDescent="0.2">
      <c r="C108" s="67" t="s">
        <v>320</v>
      </c>
      <c r="D108" s="70">
        <v>2081.2118305859203</v>
      </c>
      <c r="E108" s="67"/>
      <c r="F108" s="67"/>
      <c r="G108" s="67"/>
      <c r="H108" s="67"/>
      <c r="I108" s="67"/>
      <c r="J108" s="67" t="s">
        <v>321</v>
      </c>
      <c r="K108" s="67">
        <v>1.03</v>
      </c>
      <c r="L108" s="67">
        <v>1.03</v>
      </c>
      <c r="M108" s="67"/>
      <c r="AK108" s="7" t="s">
        <v>21</v>
      </c>
      <c r="AL108" s="7" t="s">
        <v>448</v>
      </c>
      <c r="AM108" s="10">
        <v>7</v>
      </c>
      <c r="AN108" s="126">
        <v>4.5</v>
      </c>
      <c r="AO108" s="10">
        <f t="shared" si="40"/>
        <v>17034.271977729099</v>
      </c>
      <c r="AP108" s="10">
        <f>AM108*M$100+M$101*AN108+AO108</f>
        <v>21919.380173610563</v>
      </c>
      <c r="BF108" s="5"/>
    </row>
    <row r="109" spans="3:58" x14ac:dyDescent="0.2">
      <c r="C109" s="67" t="s">
        <v>322</v>
      </c>
      <c r="D109" s="70">
        <v>1181.5277119524503</v>
      </c>
      <c r="E109" s="70">
        <v>862.23804839752961</v>
      </c>
      <c r="F109" s="67"/>
      <c r="G109" s="67"/>
      <c r="H109" s="67"/>
      <c r="I109" s="67"/>
      <c r="J109" s="67"/>
      <c r="K109" s="67"/>
      <c r="L109" s="70"/>
      <c r="M109" s="70"/>
      <c r="AK109" s="53"/>
      <c r="AL109" s="53" t="s">
        <v>149</v>
      </c>
      <c r="AM109" s="53">
        <f>SUM(AM92:AM108)</f>
        <v>1836</v>
      </c>
      <c r="AN109" s="130">
        <f>SUM(AN92:AN108)</f>
        <v>205.4</v>
      </c>
      <c r="AO109" s="54">
        <f>SUM(AO92:AO108)</f>
        <v>289582.62362139474</v>
      </c>
      <c r="AP109" s="66"/>
      <c r="BF109" s="5"/>
    </row>
    <row r="110" spans="3:58" x14ac:dyDescent="0.2">
      <c r="C110" s="67" t="s">
        <v>323</v>
      </c>
      <c r="D110" s="70">
        <v>1181.5277119524503</v>
      </c>
      <c r="E110" s="70">
        <f>E109</f>
        <v>862.23804839752961</v>
      </c>
      <c r="F110" s="67"/>
      <c r="G110" s="67"/>
      <c r="H110" s="67"/>
      <c r="I110" s="67"/>
      <c r="J110" s="67"/>
      <c r="K110" s="67"/>
      <c r="L110" s="67"/>
      <c r="M110" s="67"/>
      <c r="AM110" s="5">
        <f>AM109*M100</f>
        <v>461209.79916739982</v>
      </c>
      <c r="AN110" s="5">
        <f>AN109*M101</f>
        <v>142715.71011644078</v>
      </c>
      <c r="AO110" s="10">
        <f>AM110+AN110+AO109</f>
        <v>893508.1329052354</v>
      </c>
      <c r="AP110" s="10">
        <f>SUM(AP92:AP109)</f>
        <v>893508.13290523528</v>
      </c>
      <c r="BF110" s="5"/>
    </row>
    <row r="111" spans="3:58" x14ac:dyDescent="0.2">
      <c r="C111" s="67" t="s">
        <v>324</v>
      </c>
      <c r="D111" s="70">
        <v>319.28966355492071</v>
      </c>
      <c r="E111" s="67"/>
      <c r="F111" s="67"/>
      <c r="G111" s="67"/>
      <c r="H111" s="67"/>
      <c r="I111" s="67"/>
      <c r="J111" s="74"/>
      <c r="K111" s="73"/>
      <c r="L111" s="73"/>
      <c r="M111" s="73"/>
      <c r="AO111" s="93">
        <f>AO83-AO110</f>
        <v>-1.5092838408891112</v>
      </c>
      <c r="BF111" s="5"/>
    </row>
    <row r="112" spans="3:58" x14ac:dyDescent="0.2">
      <c r="C112" s="67" t="s">
        <v>325</v>
      </c>
      <c r="D112" s="70">
        <v>445.53867389041011</v>
      </c>
      <c r="E112" s="67"/>
      <c r="F112" s="67"/>
      <c r="G112" s="67"/>
      <c r="H112" s="67"/>
      <c r="I112" s="67"/>
      <c r="J112" s="74"/>
      <c r="K112" s="73"/>
      <c r="L112" s="73"/>
      <c r="M112" s="73"/>
      <c r="BF112" s="5"/>
    </row>
    <row r="113" spans="3:57" x14ac:dyDescent="0.2">
      <c r="AC113" s="84"/>
    </row>
    <row r="114" spans="3:57" x14ac:dyDescent="0.2">
      <c r="C114" s="67"/>
      <c r="E114" s="68">
        <v>2016</v>
      </c>
      <c r="F114" s="68">
        <v>2017</v>
      </c>
      <c r="G114" s="68"/>
      <c r="H114" s="68"/>
      <c r="I114" s="68"/>
      <c r="J114" s="68">
        <v>2018</v>
      </c>
      <c r="K114" s="68">
        <v>2019</v>
      </c>
      <c r="L114" s="68">
        <v>2020</v>
      </c>
      <c r="M114" s="68">
        <v>2021</v>
      </c>
      <c r="N114" s="68">
        <v>2022</v>
      </c>
      <c r="O114" s="68">
        <v>2023</v>
      </c>
      <c r="P114" s="68">
        <v>2024</v>
      </c>
    </row>
    <row r="115" spans="3:57" x14ac:dyDescent="0.2">
      <c r="C115" s="67" t="s">
        <v>316</v>
      </c>
      <c r="E115" s="69">
        <v>11.6</v>
      </c>
      <c r="F115" s="69">
        <v>11.6</v>
      </c>
      <c r="G115" s="69"/>
      <c r="H115" s="69"/>
      <c r="I115" s="69"/>
      <c r="J115" s="69">
        <v>11.86</v>
      </c>
      <c r="K115" s="69">
        <v>11.93</v>
      </c>
      <c r="L115" s="69">
        <v>11.96</v>
      </c>
      <c r="M115" s="69">
        <v>11.96</v>
      </c>
      <c r="N115" s="69">
        <v>11.96</v>
      </c>
      <c r="O115" s="69">
        <v>11.96</v>
      </c>
      <c r="P115" s="131">
        <v>11.89</v>
      </c>
      <c r="Q115" s="5"/>
      <c r="R115" s="5"/>
      <c r="S115" s="5"/>
      <c r="T115" s="5"/>
      <c r="U115" s="5"/>
      <c r="V115" s="5"/>
      <c r="W115" s="5"/>
      <c r="X115" s="5"/>
      <c r="Y115" s="5"/>
    </row>
    <row r="116" spans="3:57" x14ac:dyDescent="0.2">
      <c r="C116" s="67"/>
      <c r="D116" s="70"/>
      <c r="E116" s="70"/>
      <c r="F116" s="70"/>
      <c r="G116" s="70"/>
      <c r="H116" s="70"/>
      <c r="I116" s="70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8" spans="3:57" x14ac:dyDescent="0.2">
      <c r="F118" s="107" t="s">
        <v>334</v>
      </c>
      <c r="G118" s="107"/>
      <c r="H118" s="107"/>
      <c r="I118" s="107"/>
      <c r="J118" s="132">
        <v>2018</v>
      </c>
      <c r="K118" s="132">
        <v>2019</v>
      </c>
      <c r="L118" s="132">
        <v>2020</v>
      </c>
      <c r="M118" s="132">
        <v>2021</v>
      </c>
      <c r="N118" s="68"/>
    </row>
    <row r="119" spans="3:57" x14ac:dyDescent="0.2">
      <c r="F119" s="107" t="s">
        <v>335</v>
      </c>
      <c r="G119" s="107"/>
      <c r="H119" s="107"/>
      <c r="I119" s="107"/>
      <c r="J119" s="1">
        <v>25.1</v>
      </c>
      <c r="K119" s="133">
        <f>J119*K108</f>
        <v>25.853000000000002</v>
      </c>
      <c r="L119" s="133">
        <f>K119*L108</f>
        <v>26.628590000000003</v>
      </c>
      <c r="M119" s="133">
        <f>L119*M108</f>
        <v>0</v>
      </c>
      <c r="N119" s="133"/>
    </row>
    <row r="120" spans="3:57" x14ac:dyDescent="0.2">
      <c r="F120" s="107" t="s">
        <v>336</v>
      </c>
      <c r="G120" s="107"/>
      <c r="H120" s="107"/>
      <c r="I120" s="107"/>
      <c r="K120" s="133">
        <v>2.25</v>
      </c>
      <c r="L120" s="133">
        <f>K120*L108</f>
        <v>2.3174999999999999</v>
      </c>
      <c r="M120" s="133">
        <f>L120*M108</f>
        <v>0</v>
      </c>
      <c r="N120" s="133"/>
    </row>
    <row r="125" spans="3:57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3:57" x14ac:dyDescent="0.2">
      <c r="L126" s="79"/>
      <c r="M126" s="79"/>
      <c r="N126" s="79"/>
      <c r="O126" s="79"/>
      <c r="P126" s="79"/>
      <c r="Q126" s="79"/>
      <c r="R126" s="79"/>
      <c r="S126" s="79"/>
    </row>
    <row r="131" spans="12:19" x14ac:dyDescent="0.2">
      <c r="L131" s="79"/>
      <c r="M131" s="79"/>
      <c r="N131" s="79"/>
      <c r="O131" s="79"/>
      <c r="P131" s="79"/>
      <c r="Q131" s="79"/>
      <c r="R131" s="79"/>
      <c r="S131" s="79"/>
    </row>
  </sheetData>
  <mergeCells count="49">
    <mergeCell ref="AL1:AL3"/>
    <mergeCell ref="A1:A3"/>
    <mergeCell ref="B1:B3"/>
    <mergeCell ref="C1:C3"/>
    <mergeCell ref="D1:K1"/>
    <mergeCell ref="L1:Y1"/>
    <mergeCell ref="Z1:AA2"/>
    <mergeCell ref="W2:W3"/>
    <mergeCell ref="X2:X3"/>
    <mergeCell ref="Y2:Y3"/>
    <mergeCell ref="AB1:AB3"/>
    <mergeCell ref="AC1:AC3"/>
    <mergeCell ref="AD1:AI2"/>
    <mergeCell ref="AJ1:AJ3"/>
    <mergeCell ref="AK1:AK3"/>
    <mergeCell ref="BC1:BC3"/>
    <mergeCell ref="AM2:AM3"/>
    <mergeCell ref="AN2:AN3"/>
    <mergeCell ref="AO2:AO3"/>
    <mergeCell ref="AR2:AS2"/>
    <mergeCell ref="AT2:AU2"/>
    <mergeCell ref="AV2:AX2"/>
    <mergeCell ref="AY2:AY3"/>
    <mergeCell ref="AZ2:AZ3"/>
    <mergeCell ref="BA2:BA3"/>
    <mergeCell ref="A83:C83"/>
    <mergeCell ref="BD1:BD3"/>
    <mergeCell ref="BE1:BE3"/>
    <mergeCell ref="D2:F2"/>
    <mergeCell ref="G2:I2"/>
    <mergeCell ref="J2:J3"/>
    <mergeCell ref="K2:K3"/>
    <mergeCell ref="L2:S2"/>
    <mergeCell ref="T2:T3"/>
    <mergeCell ref="U2:U3"/>
    <mergeCell ref="V2:V3"/>
    <mergeCell ref="AM1:AO1"/>
    <mergeCell ref="AP1:AQ2"/>
    <mergeCell ref="AR1:AX1"/>
    <mergeCell ref="AY1:BA1"/>
    <mergeCell ref="BB1:BB3"/>
    <mergeCell ref="AO89:AO91"/>
    <mergeCell ref="AP89:AP91"/>
    <mergeCell ref="C85:C86"/>
    <mergeCell ref="D85:M85"/>
    <mergeCell ref="AK89:AK91"/>
    <mergeCell ref="AL89:AL91"/>
    <mergeCell ref="AM89:AM91"/>
    <mergeCell ref="AN89:AN91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10"/>
  <sheetViews>
    <sheetView tabSelected="1" workbookViewId="0">
      <pane xSplit="2" ySplit="3" topLeftCell="C70" activePane="bottomRight" state="frozen"/>
      <selection pane="topRight" activeCell="D1" sqref="D1"/>
      <selection pane="bottomLeft" activeCell="A4" sqref="A4"/>
      <selection pane="bottomRight" activeCell="U87" sqref="U87"/>
    </sheetView>
  </sheetViews>
  <sheetFormatPr defaultRowHeight="12.75" x14ac:dyDescent="0.2"/>
  <cols>
    <col min="1" max="1" width="8.5703125" bestFit="1" customWidth="1"/>
    <col min="2" max="2" width="15.7109375" customWidth="1"/>
    <col min="3" max="3" width="9.5703125" customWidth="1"/>
    <col min="4" max="4" width="10" customWidth="1"/>
    <col min="5" max="5" width="13.5703125" customWidth="1"/>
    <col min="6" max="6" width="13.42578125" customWidth="1"/>
    <col min="7" max="7" width="15" customWidth="1"/>
    <col min="8" max="8" width="11.5703125" customWidth="1"/>
    <col min="9" max="9" width="9.5703125" bestFit="1" customWidth="1"/>
    <col min="10" max="10" width="10.7109375" customWidth="1"/>
    <col min="11" max="11" width="9.5703125" bestFit="1" customWidth="1"/>
    <col min="12" max="12" width="9" customWidth="1"/>
    <col min="13" max="13" width="12.42578125" customWidth="1"/>
    <col min="14" max="14" width="10.5703125" customWidth="1"/>
    <col min="15" max="15" width="11" customWidth="1"/>
    <col min="16" max="16" width="11.5703125" customWidth="1"/>
    <col min="17" max="17" width="9.5703125" customWidth="1"/>
    <col min="18" max="18" width="9.42578125" customWidth="1"/>
    <col min="19" max="19" width="8.7109375" customWidth="1"/>
    <col min="20" max="20" width="9.5703125" bestFit="1" customWidth="1"/>
    <col min="21" max="21" width="27.28515625" bestFit="1" customWidth="1"/>
    <col min="22" max="22" width="15.140625" customWidth="1"/>
  </cols>
  <sheetData>
    <row r="1" spans="1:22" ht="12.75" customHeight="1" x14ac:dyDescent="0.2">
      <c r="A1" s="304" t="s">
        <v>148</v>
      </c>
      <c r="B1" s="304" t="s">
        <v>147</v>
      </c>
      <c r="C1" s="304" t="s">
        <v>168</v>
      </c>
      <c r="D1" s="309" t="s">
        <v>499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2"/>
      <c r="Q1" s="312"/>
      <c r="R1" s="313"/>
      <c r="S1" s="314"/>
      <c r="T1" s="304" t="s">
        <v>489</v>
      </c>
      <c r="U1" s="176" t="s">
        <v>520</v>
      </c>
      <c r="V1" s="176" t="s">
        <v>520</v>
      </c>
    </row>
    <row r="2" spans="1:22" ht="13.15" customHeight="1" x14ac:dyDescent="0.2">
      <c r="A2" s="304"/>
      <c r="B2" s="304"/>
      <c r="C2" s="307"/>
      <c r="D2" s="309" t="s">
        <v>528</v>
      </c>
      <c r="E2" s="310"/>
      <c r="F2" s="310"/>
      <c r="G2" s="310"/>
      <c r="H2" s="310"/>
      <c r="I2" s="310"/>
      <c r="J2" s="310"/>
      <c r="K2" s="311"/>
      <c r="L2" s="201"/>
      <c r="M2" s="304" t="s">
        <v>179</v>
      </c>
      <c r="N2" s="304" t="s">
        <v>178</v>
      </c>
      <c r="O2" s="304" t="s">
        <v>388</v>
      </c>
      <c r="P2" s="304" t="s">
        <v>169</v>
      </c>
      <c r="Q2" s="304" t="s">
        <v>389</v>
      </c>
      <c r="R2" s="304" t="s">
        <v>170</v>
      </c>
      <c r="S2" s="304" t="s">
        <v>354</v>
      </c>
      <c r="T2" s="304"/>
      <c r="U2" s="178" t="s">
        <v>521</v>
      </c>
      <c r="V2" s="178" t="s">
        <v>527</v>
      </c>
    </row>
    <row r="3" spans="1:22" ht="67.5" x14ac:dyDescent="0.2">
      <c r="A3" s="304"/>
      <c r="B3" s="304"/>
      <c r="C3" s="307"/>
      <c r="D3" s="99" t="s">
        <v>171</v>
      </c>
      <c r="E3" s="99" t="s">
        <v>172</v>
      </c>
      <c r="F3" s="99" t="s">
        <v>173</v>
      </c>
      <c r="G3" s="99" t="s">
        <v>174</v>
      </c>
      <c r="H3" s="99" t="s">
        <v>175</v>
      </c>
      <c r="I3" s="99" t="s">
        <v>176</v>
      </c>
      <c r="J3" s="99" t="s">
        <v>177</v>
      </c>
      <c r="K3" s="99" t="s">
        <v>215</v>
      </c>
      <c r="L3" s="99" t="s">
        <v>353</v>
      </c>
      <c r="M3" s="304"/>
      <c r="N3" s="304"/>
      <c r="O3" s="304"/>
      <c r="P3" s="304"/>
      <c r="Q3" s="304"/>
      <c r="R3" s="304"/>
      <c r="S3" s="304"/>
      <c r="T3" s="304"/>
      <c r="U3" s="99" t="s">
        <v>522</v>
      </c>
      <c r="V3" s="99" t="s">
        <v>398</v>
      </c>
    </row>
    <row r="4" spans="1:22" x14ac:dyDescent="0.2">
      <c r="A4" s="27" t="s">
        <v>69</v>
      </c>
      <c r="B4" s="28" t="s">
        <v>138</v>
      </c>
      <c r="C4" s="32">
        <f>Tasandusfond!BC4</f>
        <v>817648</v>
      </c>
      <c r="D4" s="32">
        <f t="shared" ref="D4:D35" si="0">E4+F4+G4+H4+I4+J4+K4+L4</f>
        <v>2640892</v>
      </c>
      <c r="E4" s="32">
        <f>Üldharidus!AJ4</f>
        <v>2072221</v>
      </c>
      <c r="F4" s="32">
        <f>Üldharidus!AQ4</f>
        <v>244274</v>
      </c>
      <c r="G4" s="32">
        <f>Üldharidus!AR4</f>
        <v>71164</v>
      </c>
      <c r="H4" s="32">
        <f>Üldharidus!AS4</f>
        <v>9598</v>
      </c>
      <c r="I4" s="32">
        <f>Üldharidus!AT4</f>
        <v>37392</v>
      </c>
      <c r="J4" s="32">
        <f>Üldharidus!AU4</f>
        <v>114800</v>
      </c>
      <c r="K4" s="32">
        <f>Üldharidus!AV4</f>
        <v>83232</v>
      </c>
      <c r="L4" s="32">
        <f>Üldharidus!AW4</f>
        <v>8211</v>
      </c>
      <c r="M4" s="32">
        <f>Lasteaed!G4</f>
        <v>118815</v>
      </c>
      <c r="N4" s="32">
        <f>Huvitegevus!U4</f>
        <v>90514</v>
      </c>
      <c r="O4" s="32">
        <f>'Abivajadusega lapsed'!E4</f>
        <v>12043</v>
      </c>
      <c r="P4" s="32">
        <f>Toimetulekutoetus!P4+Toimetulekutoetus!V4</f>
        <v>131775</v>
      </c>
      <c r="Q4" s="32">
        <f>Rahvastikutoimingud!AA4</f>
        <v>229</v>
      </c>
      <c r="R4" s="32">
        <f>'Kohalikud teed'!K4</f>
        <v>212025</v>
      </c>
      <c r="S4" s="32">
        <f>'Üleantud teed'!H5</f>
        <v>1608</v>
      </c>
      <c r="T4" s="33">
        <f>SUM(M4:S4)+C4+D4</f>
        <v>4025549</v>
      </c>
      <c r="U4" s="32">
        <v>51521</v>
      </c>
      <c r="V4" s="32">
        <f>Toimetulekutoetus!V4</f>
        <v>7000</v>
      </c>
    </row>
    <row r="5" spans="1:22" x14ac:dyDescent="0.2">
      <c r="A5" s="27" t="s">
        <v>69</v>
      </c>
      <c r="B5" s="28" t="s">
        <v>137</v>
      </c>
      <c r="C5" s="32">
        <f>Tasandusfond!BC5</f>
        <v>63276</v>
      </c>
      <c r="D5" s="32">
        <f t="shared" si="0"/>
        <v>5677294</v>
      </c>
      <c r="E5" s="32">
        <f>Üldharidus!AJ5</f>
        <v>4829490</v>
      </c>
      <c r="F5" s="32">
        <f>Üldharidus!AQ5</f>
        <v>0</v>
      </c>
      <c r="G5" s="32">
        <f>Üldharidus!AR5</f>
        <v>178296</v>
      </c>
      <c r="H5" s="32">
        <f>Üldharidus!AS5</f>
        <v>23256</v>
      </c>
      <c r="I5" s="32">
        <f>Üldharidus!AT5</f>
        <v>110466</v>
      </c>
      <c r="J5" s="32">
        <f>Üldharidus!AU5</f>
        <v>338275</v>
      </c>
      <c r="K5" s="32">
        <f>Üldharidus!AV5</f>
        <v>178704</v>
      </c>
      <c r="L5" s="32">
        <f>Üldharidus!AW5</f>
        <v>18807</v>
      </c>
      <c r="M5" s="32">
        <f>Lasteaed!G5</f>
        <v>120249</v>
      </c>
      <c r="N5" s="32">
        <f>Huvitegevus!U5</f>
        <v>103701</v>
      </c>
      <c r="O5" s="32">
        <f>'Abivajadusega lapsed'!E5</f>
        <v>33550</v>
      </c>
      <c r="P5" s="32">
        <f>Toimetulekutoetus!P5+Toimetulekutoetus!V5</f>
        <v>88523</v>
      </c>
      <c r="Q5" s="32">
        <f>Rahvastikutoimingud!AA5</f>
        <v>836</v>
      </c>
      <c r="R5" s="32">
        <f>'Kohalikud teed'!K5</f>
        <v>269613</v>
      </c>
      <c r="S5" s="32"/>
      <c r="T5" s="33">
        <f t="shared" ref="T5:T68" si="1">SUM(M5:S5)+C5+D5</f>
        <v>6357042</v>
      </c>
      <c r="U5" s="32">
        <v>107414</v>
      </c>
      <c r="V5" s="32">
        <f>Toimetulekutoetus!V5</f>
        <v>9000</v>
      </c>
    </row>
    <row r="6" spans="1:22" x14ac:dyDescent="0.2">
      <c r="A6" s="27" t="s">
        <v>69</v>
      </c>
      <c r="B6" s="28" t="s">
        <v>136</v>
      </c>
      <c r="C6" s="32">
        <f>Tasandusfond!BC6</f>
        <v>73641</v>
      </c>
      <c r="D6" s="32">
        <f t="shared" si="0"/>
        <v>3373981</v>
      </c>
      <c r="E6" s="32">
        <f>Üldharidus!AJ6</f>
        <v>2686759</v>
      </c>
      <c r="F6" s="32">
        <f>Üldharidus!AQ6</f>
        <v>266310</v>
      </c>
      <c r="G6" s="32">
        <f>Üldharidus!AR6</f>
        <v>82616</v>
      </c>
      <c r="H6" s="32">
        <f>Üldharidus!AS6</f>
        <v>10776</v>
      </c>
      <c r="I6" s="32">
        <f>Üldharidus!AT6</f>
        <v>51186</v>
      </c>
      <c r="J6" s="32">
        <f>Üldharidus!AU6</f>
        <v>156800</v>
      </c>
      <c r="K6" s="32">
        <f>Üldharidus!AV6</f>
        <v>108936</v>
      </c>
      <c r="L6" s="32">
        <f>Üldharidus!AW6</f>
        <v>10598</v>
      </c>
      <c r="M6" s="32">
        <f>Lasteaed!G6</f>
        <v>78805</v>
      </c>
      <c r="N6" s="32">
        <f>Huvitegevus!U6</f>
        <v>74665</v>
      </c>
      <c r="O6" s="32">
        <f>'Abivajadusega lapsed'!E6</f>
        <v>10753</v>
      </c>
      <c r="P6" s="32">
        <f>Toimetulekutoetus!P6+Toimetulekutoetus!V6</f>
        <v>102949</v>
      </c>
      <c r="Q6" s="32">
        <f>Rahvastikutoimingud!AA6</f>
        <v>245</v>
      </c>
      <c r="R6" s="32">
        <f>'Kohalikud teed'!K6</f>
        <v>154563</v>
      </c>
      <c r="S6" s="32"/>
      <c r="T6" s="33">
        <f t="shared" si="1"/>
        <v>3869602</v>
      </c>
      <c r="U6" s="32">
        <v>65680</v>
      </c>
      <c r="V6" s="32">
        <f>Toimetulekutoetus!V6</f>
        <v>32000</v>
      </c>
    </row>
    <row r="7" spans="1:22" x14ac:dyDescent="0.2">
      <c r="A7" s="27" t="s">
        <v>69</v>
      </c>
      <c r="B7" s="28" t="s">
        <v>81</v>
      </c>
      <c r="C7" s="32">
        <f>Tasandusfond!BC7</f>
        <v>40959</v>
      </c>
      <c r="D7" s="32">
        <f t="shared" si="0"/>
        <v>5648001</v>
      </c>
      <c r="E7" s="32">
        <f>Üldharidus!AJ7</f>
        <v>4073450</v>
      </c>
      <c r="F7" s="32">
        <f>Üldharidus!AQ7</f>
        <v>638800</v>
      </c>
      <c r="G7" s="32">
        <f>Üldharidus!AR7</f>
        <v>155480</v>
      </c>
      <c r="H7" s="32">
        <f>Üldharidus!AS7</f>
        <v>20280</v>
      </c>
      <c r="I7" s="32">
        <f>Üldharidus!AT7</f>
        <v>96330</v>
      </c>
      <c r="J7" s="32">
        <f>Üldharidus!AU7</f>
        <v>279650</v>
      </c>
      <c r="K7" s="32">
        <f>Üldharidus!AV7</f>
        <v>369648</v>
      </c>
      <c r="L7" s="32">
        <f>Üldharidus!AW7</f>
        <v>14363</v>
      </c>
      <c r="M7" s="32">
        <f>Lasteaed!G7</f>
        <v>127631</v>
      </c>
      <c r="N7" s="32">
        <f>Huvitegevus!U7</f>
        <v>36727</v>
      </c>
      <c r="O7" s="32">
        <f>'Abivajadusega lapsed'!E7</f>
        <v>27528</v>
      </c>
      <c r="P7" s="32">
        <f>Toimetulekutoetus!P7+Toimetulekutoetus!V7</f>
        <v>161316</v>
      </c>
      <c r="Q7" s="32">
        <f>Rahvastikutoimingud!AA7</f>
        <v>407</v>
      </c>
      <c r="R7" s="32">
        <f>'Kohalikud teed'!K7</f>
        <v>174896</v>
      </c>
      <c r="S7" s="32"/>
      <c r="T7" s="33">
        <f t="shared" si="1"/>
        <v>6217465</v>
      </c>
      <c r="U7" s="32">
        <v>104805</v>
      </c>
      <c r="V7" s="32">
        <f>Toimetulekutoetus!V7</f>
        <v>0</v>
      </c>
    </row>
    <row r="8" spans="1:22" x14ac:dyDescent="0.2">
      <c r="A8" s="27" t="s">
        <v>69</v>
      </c>
      <c r="B8" s="28" t="s">
        <v>135</v>
      </c>
      <c r="C8" s="32">
        <f>Tasandusfond!BC8</f>
        <v>20927</v>
      </c>
      <c r="D8" s="32">
        <f t="shared" si="0"/>
        <v>2909566</v>
      </c>
      <c r="E8" s="32">
        <f>Üldharidus!AJ8</f>
        <v>2187643</v>
      </c>
      <c r="F8" s="32">
        <f>Üldharidus!AQ8</f>
        <v>317173</v>
      </c>
      <c r="G8" s="32">
        <f>Üldharidus!AR8</f>
        <v>89700</v>
      </c>
      <c r="H8" s="32">
        <f>Üldharidus!AS8</f>
        <v>11700</v>
      </c>
      <c r="I8" s="32">
        <f>Üldharidus!AT8</f>
        <v>55575</v>
      </c>
      <c r="J8" s="32">
        <f>Üldharidus!AU8</f>
        <v>170625</v>
      </c>
      <c r="K8" s="32">
        <f>Üldharidus!AV8</f>
        <v>68544</v>
      </c>
      <c r="L8" s="32">
        <f>Üldharidus!AW8</f>
        <v>8606</v>
      </c>
      <c r="M8" s="32">
        <f>Lasteaed!G8</f>
        <v>63926</v>
      </c>
      <c r="N8" s="32">
        <f>Huvitegevus!U8</f>
        <v>58212</v>
      </c>
      <c r="O8" s="32">
        <f>'Abivajadusega lapsed'!E8</f>
        <v>12904</v>
      </c>
      <c r="P8" s="32">
        <f>Toimetulekutoetus!P8+Toimetulekutoetus!V8</f>
        <v>8814</v>
      </c>
      <c r="Q8" s="32">
        <f>Rahvastikutoimingud!AA8</f>
        <v>346</v>
      </c>
      <c r="R8" s="32">
        <f>'Kohalikud teed'!K8</f>
        <v>171573</v>
      </c>
      <c r="S8" s="32"/>
      <c r="T8" s="33">
        <f t="shared" si="1"/>
        <v>3246268</v>
      </c>
      <c r="U8" s="32">
        <v>55711</v>
      </c>
      <c r="V8" s="32">
        <f>Toimetulekutoetus!V8</f>
        <v>0</v>
      </c>
    </row>
    <row r="9" spans="1:22" x14ac:dyDescent="0.2">
      <c r="A9" s="27" t="s">
        <v>69</v>
      </c>
      <c r="B9" s="28" t="s">
        <v>134</v>
      </c>
      <c r="C9" s="32">
        <f>Tasandusfond!BC9</f>
        <v>1530392</v>
      </c>
      <c r="D9" s="32">
        <f t="shared" si="0"/>
        <v>3895406</v>
      </c>
      <c r="E9" s="32">
        <f>Üldharidus!AJ9</f>
        <v>3088078</v>
      </c>
      <c r="F9" s="32">
        <f>Üldharidus!AQ9</f>
        <v>293115</v>
      </c>
      <c r="G9" s="32">
        <f>Üldharidus!AR9</f>
        <v>97520</v>
      </c>
      <c r="H9" s="32">
        <f>Üldharidus!AS9</f>
        <v>12720</v>
      </c>
      <c r="I9" s="32">
        <f>Üldharidus!AT9</f>
        <v>60420</v>
      </c>
      <c r="J9" s="32">
        <f>Üldharidus!AU9</f>
        <v>184625</v>
      </c>
      <c r="K9" s="32">
        <f>Üldharidus!AV9</f>
        <v>146880</v>
      </c>
      <c r="L9" s="32">
        <f>Üldharidus!AW9</f>
        <v>12048</v>
      </c>
      <c r="M9" s="32">
        <f>Lasteaed!G9</f>
        <v>163301</v>
      </c>
      <c r="N9" s="32">
        <f>Huvitegevus!U9</f>
        <v>107132</v>
      </c>
      <c r="O9" s="32">
        <f>'Abivajadusega lapsed'!E9</f>
        <v>15054</v>
      </c>
      <c r="P9" s="32">
        <f>Toimetulekutoetus!P9+Toimetulekutoetus!V9</f>
        <v>247128</v>
      </c>
      <c r="Q9" s="32">
        <f>Rahvastikutoimingud!AA9</f>
        <v>406</v>
      </c>
      <c r="R9" s="32">
        <f>'Kohalikud teed'!K9</f>
        <v>220112</v>
      </c>
      <c r="S9" s="32">
        <f>'Üleantud teed'!H7</f>
        <v>14308</v>
      </c>
      <c r="T9" s="33">
        <f t="shared" si="1"/>
        <v>6193239</v>
      </c>
      <c r="U9" s="32">
        <v>75203</v>
      </c>
      <c r="V9" s="32">
        <f>Toimetulekutoetus!V9</f>
        <v>0</v>
      </c>
    </row>
    <row r="10" spans="1:22" x14ac:dyDescent="0.2">
      <c r="A10" s="27" t="s">
        <v>69</v>
      </c>
      <c r="B10" s="28" t="s">
        <v>133</v>
      </c>
      <c r="C10" s="32">
        <f>Tasandusfond!BC10</f>
        <v>559555</v>
      </c>
      <c r="D10" s="32">
        <f t="shared" si="0"/>
        <v>2927775</v>
      </c>
      <c r="E10" s="32">
        <f>Üldharidus!AJ10</f>
        <v>2282145</v>
      </c>
      <c r="F10" s="32">
        <f>Üldharidus!AQ10</f>
        <v>247304</v>
      </c>
      <c r="G10" s="32">
        <f>Üldharidus!AR10</f>
        <v>75716</v>
      </c>
      <c r="H10" s="32">
        <f>Üldharidus!AS10</f>
        <v>10747</v>
      </c>
      <c r="I10" s="32">
        <f>Üldharidus!AT10</f>
        <v>46911</v>
      </c>
      <c r="J10" s="32">
        <f>Üldharidus!AU10</f>
        <v>143500</v>
      </c>
      <c r="K10" s="32">
        <f>Üldharidus!AV10</f>
        <v>112608</v>
      </c>
      <c r="L10" s="32">
        <f>Üldharidus!AW10</f>
        <v>8844</v>
      </c>
      <c r="M10" s="32">
        <f>Lasteaed!G10</f>
        <v>38320</v>
      </c>
      <c r="N10" s="32">
        <f>Huvitegevus!U10</f>
        <v>91303</v>
      </c>
      <c r="O10" s="32">
        <f>'Abivajadusega lapsed'!E10</f>
        <v>9463</v>
      </c>
      <c r="P10" s="32">
        <f>Toimetulekutoetus!P10+Toimetulekutoetus!V10</f>
        <v>11685</v>
      </c>
      <c r="Q10" s="32">
        <f>Rahvastikutoimingud!AA10</f>
        <v>292</v>
      </c>
      <c r="R10" s="32">
        <f>'Kohalikud teed'!K10</f>
        <v>228999</v>
      </c>
      <c r="S10" s="32"/>
      <c r="T10" s="33">
        <f t="shared" si="1"/>
        <v>3867392</v>
      </c>
      <c r="U10" s="32">
        <v>56257</v>
      </c>
      <c r="V10" s="32">
        <f>Toimetulekutoetus!V10</f>
        <v>3000</v>
      </c>
    </row>
    <row r="11" spans="1:22" x14ac:dyDescent="0.2">
      <c r="A11" s="27" t="s">
        <v>69</v>
      </c>
      <c r="B11" s="28" t="s">
        <v>83</v>
      </c>
      <c r="C11" s="32">
        <f>Tasandusfond!BC11</f>
        <v>600639</v>
      </c>
      <c r="D11" s="32">
        <f t="shared" si="0"/>
        <v>934138</v>
      </c>
      <c r="E11" s="32">
        <f>Üldharidus!AJ11</f>
        <v>748908</v>
      </c>
      <c r="F11" s="32">
        <f>Üldharidus!AQ11</f>
        <v>65604</v>
      </c>
      <c r="G11" s="32">
        <f>Üldharidus!AR11</f>
        <v>34199</v>
      </c>
      <c r="H11" s="32">
        <f>Üldharidus!AS11</f>
        <v>6498</v>
      </c>
      <c r="I11" s="32">
        <f>Üldharidus!AT11</f>
        <v>12939</v>
      </c>
      <c r="J11" s="32">
        <f>Üldharidus!AU11</f>
        <v>39725</v>
      </c>
      <c r="K11" s="32">
        <f>Üldharidus!AV11</f>
        <v>23256</v>
      </c>
      <c r="L11" s="32">
        <f>Üldharidus!AW11</f>
        <v>3009</v>
      </c>
      <c r="M11" s="32">
        <f>Lasteaed!G11</f>
        <v>46982</v>
      </c>
      <c r="N11" s="32">
        <f>Huvitegevus!U11</f>
        <v>47412</v>
      </c>
      <c r="O11" s="32">
        <f>'Abivajadusega lapsed'!E11</f>
        <v>860</v>
      </c>
      <c r="P11" s="32">
        <f>Toimetulekutoetus!P11+Toimetulekutoetus!V11</f>
        <v>315879</v>
      </c>
      <c r="Q11" s="32">
        <f>Rahvastikutoimingud!AA11</f>
        <v>52</v>
      </c>
      <c r="R11" s="32">
        <f>'Kohalikud teed'!K11</f>
        <v>57378</v>
      </c>
      <c r="S11" s="32"/>
      <c r="T11" s="33">
        <f t="shared" si="1"/>
        <v>2003340</v>
      </c>
      <c r="U11" s="32">
        <v>18115</v>
      </c>
      <c r="V11" s="32">
        <f>Toimetulekutoetus!V11</f>
        <v>61000</v>
      </c>
    </row>
    <row r="12" spans="1:22" x14ac:dyDescent="0.2">
      <c r="A12" s="27" t="s">
        <v>69</v>
      </c>
      <c r="B12" s="28" t="s">
        <v>231</v>
      </c>
      <c r="C12" s="32">
        <f>Tasandusfond!BC12</f>
        <v>1380163</v>
      </c>
      <c r="D12" s="32">
        <f t="shared" si="0"/>
        <v>5324832</v>
      </c>
      <c r="E12" s="32">
        <f>Üldharidus!AJ12</f>
        <v>4390694</v>
      </c>
      <c r="F12" s="32">
        <f>Üldharidus!AQ12</f>
        <v>202607</v>
      </c>
      <c r="G12" s="32">
        <f>Üldharidus!AR12</f>
        <v>166722</v>
      </c>
      <c r="H12" s="32">
        <f>Üldharidus!AS12</f>
        <v>18484</v>
      </c>
      <c r="I12" s="32">
        <f>Üldharidus!AT12</f>
        <v>69597</v>
      </c>
      <c r="J12" s="32">
        <f>Üldharidus!AU12</f>
        <v>212275</v>
      </c>
      <c r="K12" s="32">
        <f>Üldharidus!AV12</f>
        <v>247248</v>
      </c>
      <c r="L12" s="32">
        <f>Üldharidus!AW12</f>
        <v>17205</v>
      </c>
      <c r="M12" s="32">
        <f>Lasteaed!G12</f>
        <v>191872</v>
      </c>
      <c r="N12" s="32">
        <f>Huvitegevus!U12</f>
        <v>190909</v>
      </c>
      <c r="O12" s="32">
        <f>'Abivajadusega lapsed'!E12</f>
        <v>26238</v>
      </c>
      <c r="P12" s="32">
        <f>Toimetulekutoetus!P12+Toimetulekutoetus!V12</f>
        <v>631741</v>
      </c>
      <c r="Q12" s="32">
        <f>Rahvastikutoimingud!AA12</f>
        <v>663</v>
      </c>
      <c r="R12" s="32">
        <f>'Kohalikud teed'!K12</f>
        <v>483271</v>
      </c>
      <c r="S12" s="32"/>
      <c r="T12" s="33">
        <f t="shared" si="1"/>
        <v>8229689</v>
      </c>
      <c r="U12" s="32">
        <v>102162</v>
      </c>
      <c r="V12" s="32">
        <f>Toimetulekutoetus!V12</f>
        <v>0</v>
      </c>
    </row>
    <row r="13" spans="1:22" x14ac:dyDescent="0.2">
      <c r="A13" s="27" t="s">
        <v>69</v>
      </c>
      <c r="B13" s="28" t="s">
        <v>68</v>
      </c>
      <c r="C13" s="32">
        <f>Tasandusfond!BC13</f>
        <v>69889</v>
      </c>
      <c r="D13" s="32">
        <f t="shared" si="0"/>
        <v>5249436</v>
      </c>
      <c r="E13" s="32">
        <f>Üldharidus!AJ13</f>
        <v>3715012</v>
      </c>
      <c r="F13" s="32">
        <f>Üldharidus!AQ13</f>
        <v>758568</v>
      </c>
      <c r="G13" s="32">
        <f>Üldharidus!AR13</f>
        <v>158516</v>
      </c>
      <c r="H13" s="32">
        <f>Üldharidus!AS13</f>
        <v>20676</v>
      </c>
      <c r="I13" s="32">
        <f>Üldharidus!AT13</f>
        <v>98211</v>
      </c>
      <c r="J13" s="32">
        <f>Üldharidus!AU13</f>
        <v>275275</v>
      </c>
      <c r="K13" s="32">
        <f>Üldharidus!AV13</f>
        <v>209304</v>
      </c>
      <c r="L13" s="32">
        <f>Üldharidus!AW13</f>
        <v>13874</v>
      </c>
      <c r="M13" s="32">
        <f>Lasteaed!G13</f>
        <v>209963</v>
      </c>
      <c r="N13" s="32">
        <f>Huvitegevus!U13</f>
        <v>101411</v>
      </c>
      <c r="O13" s="32">
        <f>'Abivajadusega lapsed'!E13</f>
        <v>19786</v>
      </c>
      <c r="P13" s="32">
        <f>Toimetulekutoetus!P13+Toimetulekutoetus!V13</f>
        <v>852344</v>
      </c>
      <c r="Q13" s="32">
        <f>Rahvastikutoimingud!AA13</f>
        <v>501</v>
      </c>
      <c r="R13" s="32">
        <f>'Kohalikud teed'!K13</f>
        <v>341282</v>
      </c>
      <c r="S13" s="32"/>
      <c r="T13" s="33">
        <f t="shared" si="1"/>
        <v>6844612</v>
      </c>
      <c r="U13" s="32">
        <v>99498</v>
      </c>
      <c r="V13" s="32">
        <f>Toimetulekutoetus!V13</f>
        <v>145000</v>
      </c>
    </row>
    <row r="14" spans="1:22" x14ac:dyDescent="0.2">
      <c r="A14" s="27" t="s">
        <v>69</v>
      </c>
      <c r="B14" s="28" t="s">
        <v>132</v>
      </c>
      <c r="C14" s="32">
        <f>Tasandusfond!BC14</f>
        <v>179206</v>
      </c>
      <c r="D14" s="32">
        <f t="shared" si="0"/>
        <v>2411423</v>
      </c>
      <c r="E14" s="32">
        <f>Üldharidus!AJ14</f>
        <v>2096134</v>
      </c>
      <c r="F14" s="32">
        <f>Üldharidus!AQ14</f>
        <v>0</v>
      </c>
      <c r="G14" s="32">
        <f>Üldharidus!AR14</f>
        <v>61068</v>
      </c>
      <c r="H14" s="32">
        <f>Üldharidus!AS14</f>
        <v>7764</v>
      </c>
      <c r="I14" s="32">
        <f>Üldharidus!AT14</f>
        <v>36879</v>
      </c>
      <c r="J14" s="32">
        <f>Üldharidus!AU14</f>
        <v>113225</v>
      </c>
      <c r="K14" s="32">
        <f>Üldharidus!AV14</f>
        <v>88128</v>
      </c>
      <c r="L14" s="32">
        <f>Üldharidus!AW14</f>
        <v>8225</v>
      </c>
      <c r="M14" s="32">
        <f>Lasteaed!G14</f>
        <v>112367</v>
      </c>
      <c r="N14" s="32">
        <f>Huvitegevus!U14</f>
        <v>46147</v>
      </c>
      <c r="O14" s="32">
        <f>'Abivajadusega lapsed'!E14</f>
        <v>10323</v>
      </c>
      <c r="P14" s="32">
        <f>Toimetulekutoetus!P14+Toimetulekutoetus!V14</f>
        <v>36806</v>
      </c>
      <c r="Q14" s="32">
        <f>Rahvastikutoimingud!AA14</f>
        <v>269</v>
      </c>
      <c r="R14" s="32">
        <f>'Kohalikud teed'!K14</f>
        <v>243649</v>
      </c>
      <c r="S14" s="32"/>
      <c r="T14" s="33">
        <f t="shared" si="1"/>
        <v>3040190</v>
      </c>
      <c r="U14" s="32">
        <v>46621</v>
      </c>
      <c r="V14" s="32">
        <f>Toimetulekutoetus!V14</f>
        <v>0</v>
      </c>
    </row>
    <row r="15" spans="1:22" x14ac:dyDescent="0.2">
      <c r="A15" s="27" t="s">
        <v>69</v>
      </c>
      <c r="B15" s="28" t="s">
        <v>131</v>
      </c>
      <c r="C15" s="32">
        <f>Tasandusfond!BC15</f>
        <v>64580</v>
      </c>
      <c r="D15" s="32">
        <f t="shared" si="0"/>
        <v>11695386</v>
      </c>
      <c r="E15" s="32">
        <f>Üldharidus!AJ15</f>
        <v>9218337</v>
      </c>
      <c r="F15" s="32">
        <f>Üldharidus!AQ15</f>
        <v>678207</v>
      </c>
      <c r="G15" s="32">
        <f>Üldharidus!AR15</f>
        <v>357512</v>
      </c>
      <c r="H15" s="32">
        <f>Üldharidus!AS15</f>
        <v>46632</v>
      </c>
      <c r="I15" s="32">
        <f>Üldharidus!AT15</f>
        <v>221502</v>
      </c>
      <c r="J15" s="32">
        <f>Üldharidus!AU15</f>
        <v>677775</v>
      </c>
      <c r="K15" s="32">
        <f>Üldharidus!AV15</f>
        <v>460224</v>
      </c>
      <c r="L15" s="32">
        <f>Üldharidus!AW15</f>
        <v>35197</v>
      </c>
      <c r="M15" s="32">
        <f>Lasteaed!G15</f>
        <v>242166</v>
      </c>
      <c r="N15" s="32">
        <f>Huvitegevus!U15</f>
        <v>110717</v>
      </c>
      <c r="O15" s="32">
        <f>'Abivajadusega lapsed'!E15</f>
        <v>45163</v>
      </c>
      <c r="P15" s="32">
        <f>Toimetulekutoetus!P15+Toimetulekutoetus!V15</f>
        <v>90106</v>
      </c>
      <c r="Q15" s="32">
        <f>Rahvastikutoimingud!AA15</f>
        <v>1441</v>
      </c>
      <c r="R15" s="32">
        <f>'Kohalikud teed'!K15</f>
        <v>284666</v>
      </c>
      <c r="S15" s="32"/>
      <c r="T15" s="33">
        <f t="shared" si="1"/>
        <v>12534225</v>
      </c>
      <c r="U15" s="32">
        <v>220112</v>
      </c>
      <c r="V15" s="32">
        <f>Toimetulekutoetus!V15</f>
        <v>2000</v>
      </c>
    </row>
    <row r="16" spans="1:22" x14ac:dyDescent="0.2">
      <c r="A16" s="27" t="s">
        <v>69</v>
      </c>
      <c r="B16" s="28" t="s">
        <v>130</v>
      </c>
      <c r="C16" s="32">
        <f>Tasandusfond!BC16</f>
        <v>42040</v>
      </c>
      <c r="D16" s="32">
        <f t="shared" si="0"/>
        <v>5841828</v>
      </c>
      <c r="E16" s="32">
        <f>Üldharidus!AJ16</f>
        <v>4244990</v>
      </c>
      <c r="F16" s="32">
        <f>Üldharidus!AQ16</f>
        <v>657259</v>
      </c>
      <c r="G16" s="32">
        <f>Üldharidus!AR16</f>
        <v>171120</v>
      </c>
      <c r="H16" s="32">
        <f>Üldharidus!AS16</f>
        <v>22320</v>
      </c>
      <c r="I16" s="32">
        <f>Üldharidus!AT16</f>
        <v>106020</v>
      </c>
      <c r="J16" s="32">
        <f>Üldharidus!AU16</f>
        <v>324625</v>
      </c>
      <c r="K16" s="32">
        <f>Üldharidus!AV16</f>
        <v>299880</v>
      </c>
      <c r="L16" s="32">
        <f>Üldharidus!AW16</f>
        <v>15614</v>
      </c>
      <c r="M16" s="32">
        <f>Lasteaed!G16</f>
        <v>83725</v>
      </c>
      <c r="N16" s="32">
        <f>Huvitegevus!U16</f>
        <v>91642</v>
      </c>
      <c r="O16" s="32">
        <f>'Abivajadusega lapsed'!E16</f>
        <v>21076</v>
      </c>
      <c r="P16" s="32">
        <f>Toimetulekutoetus!P16+Toimetulekutoetus!V16</f>
        <v>121874</v>
      </c>
      <c r="Q16" s="32">
        <f>Rahvastikutoimingud!AA16</f>
        <v>630</v>
      </c>
      <c r="R16" s="32">
        <f>'Kohalikud teed'!K16</f>
        <v>194748</v>
      </c>
      <c r="S16" s="32"/>
      <c r="T16" s="33">
        <f t="shared" si="1"/>
        <v>6397563</v>
      </c>
      <c r="U16" s="32">
        <v>109033</v>
      </c>
      <c r="V16" s="32">
        <f>Toimetulekutoetus!V16</f>
        <v>13000</v>
      </c>
    </row>
    <row r="17" spans="1:22" x14ac:dyDescent="0.2">
      <c r="A17" s="27" t="s">
        <v>69</v>
      </c>
      <c r="B17" s="28" t="s">
        <v>129</v>
      </c>
      <c r="C17" s="32">
        <f>Tasandusfond!BC17</f>
        <v>445314</v>
      </c>
      <c r="D17" s="32">
        <f t="shared" si="0"/>
        <v>10199120</v>
      </c>
      <c r="E17" s="32">
        <f>Üldharidus!AJ17</f>
        <v>8667167</v>
      </c>
      <c r="F17" s="32">
        <f>Üldharidus!AQ17</f>
        <v>0</v>
      </c>
      <c r="G17" s="32">
        <f>Üldharidus!AR17</f>
        <v>282348</v>
      </c>
      <c r="H17" s="32">
        <f>Üldharidus!AS17</f>
        <v>36828</v>
      </c>
      <c r="I17" s="32">
        <f>Üldharidus!AT17</f>
        <v>174933</v>
      </c>
      <c r="J17" s="32">
        <f>Üldharidus!AU17</f>
        <v>534800</v>
      </c>
      <c r="K17" s="32">
        <f>Üldharidus!AV17</f>
        <v>470016</v>
      </c>
      <c r="L17" s="32">
        <f>Üldharidus!AW17</f>
        <v>33028</v>
      </c>
      <c r="M17" s="32">
        <f>Lasteaed!G17</f>
        <v>198942</v>
      </c>
      <c r="N17" s="32">
        <f>Huvitegevus!U17</f>
        <v>181664</v>
      </c>
      <c r="O17" s="32">
        <f>'Abivajadusega lapsed'!E17</f>
        <v>51185</v>
      </c>
      <c r="P17" s="32">
        <f>Toimetulekutoetus!P17+Toimetulekutoetus!V17</f>
        <v>719482</v>
      </c>
      <c r="Q17" s="32">
        <f>Rahvastikutoimingud!AA17</f>
        <v>1155</v>
      </c>
      <c r="R17" s="32">
        <f>'Kohalikud teed'!K17</f>
        <v>546829</v>
      </c>
      <c r="S17" s="32"/>
      <c r="T17" s="33">
        <f t="shared" si="1"/>
        <v>12343691</v>
      </c>
      <c r="U17" s="32">
        <v>192768</v>
      </c>
      <c r="V17" s="32">
        <f>Toimetulekutoetus!V17</f>
        <v>205000</v>
      </c>
    </row>
    <row r="18" spans="1:22" x14ac:dyDescent="0.2">
      <c r="A18" s="27" t="s">
        <v>69</v>
      </c>
      <c r="B18" s="28" t="s">
        <v>213</v>
      </c>
      <c r="C18" s="32">
        <f>Tasandusfond!BC18</f>
        <v>1914523</v>
      </c>
      <c r="D18" s="32">
        <f t="shared" si="0"/>
        <v>147016161</v>
      </c>
      <c r="E18" s="32">
        <f>Üldharidus!AJ18</f>
        <v>100622540</v>
      </c>
      <c r="F18" s="32">
        <f>Üldharidus!AQ18</f>
        <v>22665718</v>
      </c>
      <c r="G18" s="32">
        <f>Üldharidus!AR18</f>
        <v>4427868</v>
      </c>
      <c r="H18" s="32">
        <f>Üldharidus!AS18</f>
        <v>577548</v>
      </c>
      <c r="I18" s="32">
        <f>Üldharidus!AT18</f>
        <v>2731543</v>
      </c>
      <c r="J18" s="32">
        <f>Üldharidus!AU18</f>
        <v>8062775</v>
      </c>
      <c r="K18" s="32">
        <f>Üldharidus!AV18</f>
        <v>7558934</v>
      </c>
      <c r="L18" s="32">
        <f>Üldharidus!AW18</f>
        <v>369235</v>
      </c>
      <c r="M18" s="32">
        <f>Lasteaed!G18</f>
        <v>2559893</v>
      </c>
      <c r="N18" s="32">
        <f>Huvitegevus!U18</f>
        <v>1468054</v>
      </c>
      <c r="O18" s="32">
        <f>'Abivajadusega lapsed'!E18</f>
        <v>768203</v>
      </c>
      <c r="P18" s="32">
        <f>Toimetulekutoetus!P18+Toimetulekutoetus!V18</f>
        <v>15409095</v>
      </c>
      <c r="Q18" s="32">
        <f>Rahvastikutoimingud!AA18</f>
        <v>469410</v>
      </c>
      <c r="R18" s="32">
        <f>'Kohalikud teed'!K18</f>
        <v>3625912</v>
      </c>
      <c r="S18" s="32"/>
      <c r="T18" s="33">
        <f t="shared" si="1"/>
        <v>173231251</v>
      </c>
      <c r="U18" s="32">
        <v>2742083</v>
      </c>
      <c r="V18" s="32">
        <f>Toimetulekutoetus!V18</f>
        <v>829000</v>
      </c>
    </row>
    <row r="19" spans="1:22" x14ac:dyDescent="0.2">
      <c r="A19" s="27" t="s">
        <v>69</v>
      </c>
      <c r="B19" s="28" t="s">
        <v>128</v>
      </c>
      <c r="C19" s="32">
        <f>Tasandusfond!BC19</f>
        <v>224438</v>
      </c>
      <c r="D19" s="32">
        <f t="shared" si="0"/>
        <v>8307802</v>
      </c>
      <c r="E19" s="32">
        <f>Üldharidus!AJ19</f>
        <v>6928336</v>
      </c>
      <c r="F19" s="32">
        <f>Üldharidus!AQ19</f>
        <v>0</v>
      </c>
      <c r="G19" s="32">
        <f>Üldharidus!AR19</f>
        <v>244260</v>
      </c>
      <c r="H19" s="32">
        <f>Üldharidus!AS19</f>
        <v>31860</v>
      </c>
      <c r="I19" s="32">
        <f>Üldharidus!AT19</f>
        <v>151335</v>
      </c>
      <c r="J19" s="32">
        <f>Üldharidus!AU19</f>
        <v>462350</v>
      </c>
      <c r="K19" s="32">
        <f>Üldharidus!AV19</f>
        <v>463896</v>
      </c>
      <c r="L19" s="32">
        <f>Üldharidus!AW19</f>
        <v>25765</v>
      </c>
      <c r="M19" s="32">
        <f>Lasteaed!G19</f>
        <v>197097</v>
      </c>
      <c r="N19" s="32">
        <f>Huvitegevus!U19</f>
        <v>105383</v>
      </c>
      <c r="O19" s="32">
        <f>'Abivajadusega lapsed'!E19</f>
        <v>46023</v>
      </c>
      <c r="P19" s="32">
        <f>Toimetulekutoetus!P19+Toimetulekutoetus!V19</f>
        <v>218203</v>
      </c>
      <c r="Q19" s="32">
        <f>Rahvastikutoimingud!AA19</f>
        <v>874</v>
      </c>
      <c r="R19" s="32">
        <f>'Kohalikud teed'!K19</f>
        <v>249276</v>
      </c>
      <c r="S19" s="32">
        <f>'Üleantud teed'!H9</f>
        <v>27461</v>
      </c>
      <c r="T19" s="33">
        <f t="shared" si="1"/>
        <v>9376557</v>
      </c>
      <c r="U19" s="32">
        <v>154095</v>
      </c>
      <c r="V19" s="32">
        <f>Toimetulekutoetus!V19</f>
        <v>10000</v>
      </c>
    </row>
    <row r="20" spans="1:22" x14ac:dyDescent="0.2">
      <c r="A20" s="27" t="s">
        <v>67</v>
      </c>
      <c r="B20" s="28" t="s">
        <v>217</v>
      </c>
      <c r="C20" s="32">
        <f>Tasandusfond!BC20</f>
        <v>74595</v>
      </c>
      <c r="D20" s="32">
        <f t="shared" si="0"/>
        <v>3123306</v>
      </c>
      <c r="E20" s="32">
        <f>Üldharidus!AJ20</f>
        <v>2626726</v>
      </c>
      <c r="F20" s="32">
        <f>Üldharidus!AQ20</f>
        <v>0</v>
      </c>
      <c r="G20" s="32">
        <f>Üldharidus!AR20</f>
        <v>118281</v>
      </c>
      <c r="H20" s="32">
        <f>Üldharidus!AS20</f>
        <v>14384</v>
      </c>
      <c r="I20" s="32">
        <f>Üldharidus!AT20</f>
        <v>39387</v>
      </c>
      <c r="J20" s="32">
        <f>Üldharidus!AU20</f>
        <v>119875</v>
      </c>
      <c r="K20" s="32">
        <f>Üldharidus!AV20</f>
        <v>194616</v>
      </c>
      <c r="L20" s="32">
        <f>Üldharidus!AW20</f>
        <v>10037</v>
      </c>
      <c r="M20" s="32">
        <f>Lasteaed!G20</f>
        <v>108370</v>
      </c>
      <c r="N20" s="32">
        <f>Huvitegevus!U20</f>
        <v>108433</v>
      </c>
      <c r="O20" s="32">
        <f>'Abivajadusega lapsed'!E20</f>
        <v>14624</v>
      </c>
      <c r="P20" s="32">
        <f>Toimetulekutoetus!P20+Toimetulekutoetus!V20</f>
        <v>235013</v>
      </c>
      <c r="Q20" s="32">
        <f>Rahvastikutoimingud!AA20</f>
        <v>5280</v>
      </c>
      <c r="R20" s="32">
        <f>'Kohalikud teed'!K20</f>
        <v>406642</v>
      </c>
      <c r="S20" s="32"/>
      <c r="T20" s="33">
        <f t="shared" si="1"/>
        <v>4076263</v>
      </c>
      <c r="U20" s="32">
        <v>58421</v>
      </c>
      <c r="V20" s="32">
        <f>Toimetulekutoetus!V20</f>
        <v>82000</v>
      </c>
    </row>
    <row r="21" spans="1:22" x14ac:dyDescent="0.2">
      <c r="A21" s="27" t="s">
        <v>58</v>
      </c>
      <c r="B21" s="28" t="s">
        <v>218</v>
      </c>
      <c r="C21" s="32">
        <f>Tasandusfond!BC21</f>
        <v>414111</v>
      </c>
      <c r="D21" s="32">
        <f t="shared" si="0"/>
        <v>1963700</v>
      </c>
      <c r="E21" s="32">
        <f>Üldharidus!AJ21</f>
        <v>1629062</v>
      </c>
      <c r="F21" s="32">
        <f>Üldharidus!AQ21</f>
        <v>52371</v>
      </c>
      <c r="G21" s="32">
        <f>Üldharidus!AR21</f>
        <v>64422</v>
      </c>
      <c r="H21" s="32">
        <f>Üldharidus!AS21</f>
        <v>7413</v>
      </c>
      <c r="I21" s="32">
        <f>Üldharidus!AT21</f>
        <v>22173</v>
      </c>
      <c r="J21" s="32">
        <f>Üldharidus!AU21</f>
        <v>68075</v>
      </c>
      <c r="K21" s="32">
        <f>Üldharidus!AV21</f>
        <v>113832</v>
      </c>
      <c r="L21" s="32">
        <f>Üldharidus!AW21</f>
        <v>6352</v>
      </c>
      <c r="M21" s="32">
        <f>Lasteaed!G21</f>
        <v>57917</v>
      </c>
      <c r="N21" s="32">
        <f>Huvitegevus!U21</f>
        <v>66869</v>
      </c>
      <c r="O21" s="32">
        <f>'Abivajadusega lapsed'!E21</f>
        <v>6022</v>
      </c>
      <c r="P21" s="32">
        <f>Toimetulekutoetus!P21+Toimetulekutoetus!V21</f>
        <v>111579</v>
      </c>
      <c r="Q21" s="32">
        <f>Rahvastikutoimingud!AA21</f>
        <v>135</v>
      </c>
      <c r="R21" s="32">
        <f>'Kohalikud teed'!K21</f>
        <v>233824</v>
      </c>
      <c r="S21" s="32">
        <f>'Üleantud teed'!H4</f>
        <v>22268</v>
      </c>
      <c r="T21" s="33">
        <f t="shared" si="1"/>
        <v>2876425</v>
      </c>
      <c r="U21" s="32">
        <v>37397</v>
      </c>
      <c r="V21" s="32">
        <f>Toimetulekutoetus!V21</f>
        <v>6000</v>
      </c>
    </row>
    <row r="22" spans="1:22" x14ac:dyDescent="0.2">
      <c r="A22" s="27" t="s">
        <v>58</v>
      </c>
      <c r="B22" s="28" t="s">
        <v>127</v>
      </c>
      <c r="C22" s="32">
        <f>Tasandusfond!BC22</f>
        <v>1440661</v>
      </c>
      <c r="D22" s="32">
        <f t="shared" si="0"/>
        <v>3680798</v>
      </c>
      <c r="E22" s="32">
        <f>Üldharidus!AJ22</f>
        <v>3111527</v>
      </c>
      <c r="F22" s="32">
        <f>Üldharidus!AQ22</f>
        <v>0</v>
      </c>
      <c r="G22" s="32">
        <f>Üldharidus!AR22</f>
        <v>111076</v>
      </c>
      <c r="H22" s="32">
        <f>Üldharidus!AS22</f>
        <v>17529</v>
      </c>
      <c r="I22" s="32">
        <f>Üldharidus!AT22</f>
        <v>63897</v>
      </c>
      <c r="J22" s="32">
        <f>Üldharidus!AU22</f>
        <v>196000</v>
      </c>
      <c r="K22" s="32">
        <f>Üldharidus!AV22</f>
        <v>168912</v>
      </c>
      <c r="L22" s="32">
        <f>Üldharidus!AW22</f>
        <v>11857</v>
      </c>
      <c r="M22" s="32">
        <f>Lasteaed!G22</f>
        <v>211695</v>
      </c>
      <c r="N22" s="32">
        <f>Huvitegevus!U22</f>
        <v>119978</v>
      </c>
      <c r="O22" s="32">
        <f>'Abivajadusega lapsed'!E22</f>
        <v>17205</v>
      </c>
      <c r="P22" s="32">
        <f>Toimetulekutoetus!P22+Toimetulekutoetus!V22</f>
        <v>830098</v>
      </c>
      <c r="Q22" s="32">
        <f>Rahvastikutoimingud!AA22</f>
        <v>46051</v>
      </c>
      <c r="R22" s="32">
        <f>'Kohalikud teed'!K22</f>
        <v>242567</v>
      </c>
      <c r="S22" s="32"/>
      <c r="T22" s="33">
        <f t="shared" si="1"/>
        <v>6589053</v>
      </c>
      <c r="U22" s="32">
        <v>69203</v>
      </c>
      <c r="V22" s="32">
        <f>Toimetulekutoetus!V22</f>
        <v>198000</v>
      </c>
    </row>
    <row r="23" spans="1:22" x14ac:dyDescent="0.2">
      <c r="A23" s="27" t="s">
        <v>58</v>
      </c>
      <c r="B23" s="28" t="s">
        <v>57</v>
      </c>
      <c r="C23" s="32">
        <f>Tasandusfond!BC23</f>
        <v>8779631</v>
      </c>
      <c r="D23" s="32">
        <f t="shared" si="0"/>
        <v>7830376</v>
      </c>
      <c r="E23" s="32">
        <f>Üldharidus!AJ23</f>
        <v>6184384</v>
      </c>
      <c r="F23" s="32">
        <f>Üldharidus!AQ23</f>
        <v>238920</v>
      </c>
      <c r="G23" s="32">
        <f>Üldharidus!AR23</f>
        <v>316860</v>
      </c>
      <c r="H23" s="32">
        <f>Üldharidus!AS23</f>
        <v>43499</v>
      </c>
      <c r="I23" s="32">
        <f>Üldharidus!AT23</f>
        <v>134486</v>
      </c>
      <c r="J23" s="32">
        <f>Üldharidus!AU23</f>
        <v>385350</v>
      </c>
      <c r="K23" s="32">
        <f>Üldharidus!AV23</f>
        <v>504777</v>
      </c>
      <c r="L23" s="32">
        <f>Üldharidus!AW23</f>
        <v>22100</v>
      </c>
      <c r="M23" s="32">
        <f>Lasteaed!G23</f>
        <v>936725</v>
      </c>
      <c r="N23" s="32">
        <f>Huvitegevus!U23</f>
        <v>214544</v>
      </c>
      <c r="O23" s="32">
        <f>'Abivajadusega lapsed'!E23</f>
        <v>74842</v>
      </c>
      <c r="P23" s="32">
        <f>Toimetulekutoetus!P23+Toimetulekutoetus!V23</f>
        <v>1639732</v>
      </c>
      <c r="Q23" s="32">
        <f>Rahvastikutoimingud!AA23</f>
        <v>715</v>
      </c>
      <c r="R23" s="32">
        <f>'Kohalikud teed'!K23</f>
        <v>518835</v>
      </c>
      <c r="S23" s="32"/>
      <c r="T23" s="33">
        <f t="shared" si="1"/>
        <v>19995400</v>
      </c>
      <c r="U23" s="32">
        <v>142862</v>
      </c>
      <c r="V23" s="32">
        <f>Toimetulekutoetus!V23</f>
        <v>359000</v>
      </c>
    </row>
    <row r="24" spans="1:22" x14ac:dyDescent="0.2">
      <c r="A24" s="27" t="s">
        <v>58</v>
      </c>
      <c r="B24" s="28" t="s">
        <v>126</v>
      </c>
      <c r="C24" s="32">
        <f>Tasandusfond!BC24</f>
        <v>2113802</v>
      </c>
      <c r="D24" s="32">
        <f t="shared" si="0"/>
        <v>325972</v>
      </c>
      <c r="E24" s="32">
        <f>Üldharidus!AJ24</f>
        <v>181934</v>
      </c>
      <c r="F24" s="32">
        <f>Üldharidus!AQ24</f>
        <v>0</v>
      </c>
      <c r="G24" s="32">
        <f>Üldharidus!AR24</f>
        <v>108628</v>
      </c>
      <c r="H24" s="32">
        <f>Üldharidus!AS24</f>
        <v>13834</v>
      </c>
      <c r="I24" s="32">
        <f>Üldharidus!AT24</f>
        <v>3021</v>
      </c>
      <c r="J24" s="32">
        <f>Üldharidus!AU24</f>
        <v>9275</v>
      </c>
      <c r="K24" s="32">
        <f>Üldharidus!AV24</f>
        <v>8568</v>
      </c>
      <c r="L24" s="32">
        <f>Üldharidus!AW24</f>
        <v>712</v>
      </c>
      <c r="M24" s="32">
        <f>Lasteaed!G24</f>
        <v>124080</v>
      </c>
      <c r="N24" s="32">
        <f>Huvitegevus!U24</f>
        <v>103690</v>
      </c>
      <c r="O24" s="32">
        <f>'Abivajadusega lapsed'!E24</f>
        <v>14624</v>
      </c>
      <c r="P24" s="32">
        <f>Toimetulekutoetus!P24+Toimetulekutoetus!V24</f>
        <v>537947</v>
      </c>
      <c r="Q24" s="32">
        <f>Rahvastikutoimingud!AA24</f>
        <v>240</v>
      </c>
      <c r="R24" s="32">
        <f>'Kohalikud teed'!K24</f>
        <v>394085</v>
      </c>
      <c r="S24" s="32"/>
      <c r="T24" s="33">
        <f t="shared" si="1"/>
        <v>3614440</v>
      </c>
      <c r="U24" s="32">
        <v>4047</v>
      </c>
      <c r="V24" s="32">
        <f>Toimetulekutoetus!V24</f>
        <v>155000</v>
      </c>
    </row>
    <row r="25" spans="1:22" x14ac:dyDescent="0.2">
      <c r="A25" s="27" t="s">
        <v>58</v>
      </c>
      <c r="B25" s="28" t="s">
        <v>59</v>
      </c>
      <c r="C25" s="32">
        <f>Tasandusfond!BC25</f>
        <v>18405039</v>
      </c>
      <c r="D25" s="32">
        <f t="shared" si="0"/>
        <v>14288317</v>
      </c>
      <c r="E25" s="32">
        <f>Üldharidus!AJ25</f>
        <v>10183042</v>
      </c>
      <c r="F25" s="32">
        <f>Üldharidus!AQ25</f>
        <v>1752186</v>
      </c>
      <c r="G25" s="32">
        <f>Üldharidus!AR25</f>
        <v>516120</v>
      </c>
      <c r="H25" s="32">
        <f>Üldharidus!AS25</f>
        <v>70301</v>
      </c>
      <c r="I25" s="32">
        <f>Üldharidus!AT25</f>
        <v>261402</v>
      </c>
      <c r="J25" s="32">
        <f>Üldharidus!AU25</f>
        <v>678825</v>
      </c>
      <c r="K25" s="32">
        <f>Üldharidus!AV25</f>
        <v>789480</v>
      </c>
      <c r="L25" s="32">
        <f>Üldharidus!AW25</f>
        <v>36961</v>
      </c>
      <c r="M25" s="32">
        <f>Lasteaed!G25</f>
        <v>1094027</v>
      </c>
      <c r="N25" s="32">
        <f>Huvitegevus!U25</f>
        <v>170591</v>
      </c>
      <c r="O25" s="32">
        <f>'Abivajadusega lapsed'!E25</f>
        <v>109682</v>
      </c>
      <c r="P25" s="32">
        <f>Toimetulekutoetus!P25+Toimetulekutoetus!V25</f>
        <v>1814326</v>
      </c>
      <c r="Q25" s="32">
        <f>Rahvastikutoimingud!AA25</f>
        <v>67066</v>
      </c>
      <c r="R25" s="32">
        <f>'Kohalikud teed'!K25</f>
        <v>421465</v>
      </c>
      <c r="S25" s="32"/>
      <c r="T25" s="33">
        <f t="shared" si="1"/>
        <v>36370513</v>
      </c>
      <c r="U25" s="32">
        <v>265454</v>
      </c>
      <c r="V25" s="32">
        <f>Toimetulekutoetus!V25</f>
        <v>611000</v>
      </c>
    </row>
    <row r="26" spans="1:22" x14ac:dyDescent="0.2">
      <c r="A26" s="27" t="s">
        <v>58</v>
      </c>
      <c r="B26" s="28" t="s">
        <v>62</v>
      </c>
      <c r="C26" s="32">
        <f>Tasandusfond!BC26</f>
        <v>1237412</v>
      </c>
      <c r="D26" s="32">
        <f t="shared" si="0"/>
        <v>1153682</v>
      </c>
      <c r="E26" s="32">
        <f>Üldharidus!AJ26</f>
        <v>1015010</v>
      </c>
      <c r="F26" s="32">
        <f>Üldharidus!AQ26</f>
        <v>0</v>
      </c>
      <c r="G26" s="32">
        <f>Üldharidus!AR26</f>
        <v>41172</v>
      </c>
      <c r="H26" s="32">
        <f>Üldharidus!AS26</f>
        <v>3933</v>
      </c>
      <c r="I26" s="32">
        <f>Üldharidus!AT26</f>
        <v>12654</v>
      </c>
      <c r="J26" s="32">
        <f>Üldharidus!AU26</f>
        <v>38850</v>
      </c>
      <c r="K26" s="32">
        <f>Üldharidus!AV26</f>
        <v>37944</v>
      </c>
      <c r="L26" s="32">
        <f>Üldharidus!AW26</f>
        <v>4119</v>
      </c>
      <c r="M26" s="32">
        <f>Lasteaed!G26</f>
        <v>53870</v>
      </c>
      <c r="N26" s="32">
        <f>Huvitegevus!U26</f>
        <v>62018</v>
      </c>
      <c r="O26" s="32">
        <f>'Abivajadusega lapsed'!E26</f>
        <v>3871</v>
      </c>
      <c r="P26" s="32">
        <f>Toimetulekutoetus!P26+Toimetulekutoetus!V26</f>
        <v>168437</v>
      </c>
      <c r="Q26" s="32">
        <f>Rahvastikutoimingud!AA26</f>
        <v>176</v>
      </c>
      <c r="R26" s="32">
        <f>'Kohalikud teed'!K26</f>
        <v>254626</v>
      </c>
      <c r="S26" s="32"/>
      <c r="T26" s="33">
        <f t="shared" si="1"/>
        <v>2934092</v>
      </c>
      <c r="U26" s="32">
        <v>22575</v>
      </c>
      <c r="V26" s="32">
        <f>Toimetulekutoetus!V26</f>
        <v>25000</v>
      </c>
    </row>
    <row r="27" spans="1:22" x14ac:dyDescent="0.2">
      <c r="A27" s="27" t="s">
        <v>58</v>
      </c>
      <c r="B27" s="28" t="s">
        <v>61</v>
      </c>
      <c r="C27" s="32">
        <f>Tasandusfond!BC27</f>
        <v>3066010</v>
      </c>
      <c r="D27" s="32">
        <f t="shared" si="0"/>
        <v>2391675</v>
      </c>
      <c r="E27" s="32">
        <f>Üldharidus!AJ27</f>
        <v>1928686</v>
      </c>
      <c r="F27" s="32">
        <f>Üldharidus!AQ27</f>
        <v>0</v>
      </c>
      <c r="G27" s="32">
        <f>Üldharidus!AR27</f>
        <v>120227</v>
      </c>
      <c r="H27" s="32">
        <f>Üldharidus!AS27</f>
        <v>17342</v>
      </c>
      <c r="I27" s="32">
        <f>Üldharidus!AT27</f>
        <v>37392</v>
      </c>
      <c r="J27" s="32">
        <f>Üldharidus!AU27</f>
        <v>114625</v>
      </c>
      <c r="K27" s="32">
        <f>Üldharidus!AV27</f>
        <v>166464</v>
      </c>
      <c r="L27" s="32">
        <f>Üldharidus!AW27</f>
        <v>6939</v>
      </c>
      <c r="M27" s="32">
        <f>Lasteaed!G27</f>
        <v>229764</v>
      </c>
      <c r="N27" s="32">
        <f>Huvitegevus!U27</f>
        <v>53539</v>
      </c>
      <c r="O27" s="32">
        <f>'Abivajadusega lapsed'!E27</f>
        <v>20216</v>
      </c>
      <c r="P27" s="32">
        <f>Toimetulekutoetus!P27+Toimetulekutoetus!V27</f>
        <v>577622</v>
      </c>
      <c r="Q27" s="32">
        <f>Rahvastikutoimingud!AA27</f>
        <v>406</v>
      </c>
      <c r="R27" s="32">
        <f>'Kohalikud teed'!K27</f>
        <v>76197</v>
      </c>
      <c r="S27" s="32"/>
      <c r="T27" s="33">
        <f t="shared" si="1"/>
        <v>6415429</v>
      </c>
      <c r="U27" s="32">
        <v>42896</v>
      </c>
      <c r="V27" s="32">
        <f>Toimetulekutoetus!V27</f>
        <v>128000</v>
      </c>
    </row>
    <row r="28" spans="1:22" x14ac:dyDescent="0.2">
      <c r="A28" s="27" t="s">
        <v>58</v>
      </c>
      <c r="B28" s="28" t="s">
        <v>64</v>
      </c>
      <c r="C28" s="32">
        <f>Tasandusfond!BC28</f>
        <v>213009</v>
      </c>
      <c r="D28" s="32">
        <f t="shared" si="0"/>
        <v>1504843</v>
      </c>
      <c r="E28" s="32">
        <f>Üldharidus!AJ28</f>
        <v>1161553</v>
      </c>
      <c r="F28" s="32">
        <f>Üldharidus!AQ28</f>
        <v>162185</v>
      </c>
      <c r="G28" s="32">
        <f>Üldharidus!AR28</f>
        <v>51267</v>
      </c>
      <c r="H28" s="32">
        <f>Üldharidus!AS28</f>
        <v>4995</v>
      </c>
      <c r="I28" s="32">
        <f>Üldharidus!AT28</f>
        <v>22344</v>
      </c>
      <c r="J28" s="32">
        <f>Üldharidus!AU28</f>
        <v>68425</v>
      </c>
      <c r="K28" s="32">
        <f>Üldharidus!AV28</f>
        <v>29376</v>
      </c>
      <c r="L28" s="32">
        <f>Üldharidus!AW28</f>
        <v>4698</v>
      </c>
      <c r="M28" s="32">
        <f>Lasteaed!G28</f>
        <v>79255</v>
      </c>
      <c r="N28" s="32">
        <f>Huvitegevus!U28</f>
        <v>71803</v>
      </c>
      <c r="O28" s="32">
        <f>'Abivajadusega lapsed'!E28</f>
        <v>4731</v>
      </c>
      <c r="P28" s="32">
        <f>Toimetulekutoetus!P28+Toimetulekutoetus!V28</f>
        <v>58535</v>
      </c>
      <c r="Q28" s="32">
        <f>Rahvastikutoimingud!AA28</f>
        <v>99</v>
      </c>
      <c r="R28" s="32">
        <f>'Kohalikud teed'!K28</f>
        <v>180931</v>
      </c>
      <c r="S28" s="32"/>
      <c r="T28" s="33">
        <f t="shared" si="1"/>
        <v>2113206</v>
      </c>
      <c r="U28" s="32">
        <v>29441</v>
      </c>
      <c r="V28" s="32">
        <f>Toimetulekutoetus!V28</f>
        <v>0</v>
      </c>
    </row>
    <row r="29" spans="1:22" x14ac:dyDescent="0.2">
      <c r="A29" s="27" t="s">
        <v>55</v>
      </c>
      <c r="B29" s="28" t="s">
        <v>125</v>
      </c>
      <c r="C29" s="32">
        <f>Tasandusfond!BC29</f>
        <v>2531812</v>
      </c>
      <c r="D29" s="32">
        <f t="shared" si="0"/>
        <v>4574921</v>
      </c>
      <c r="E29" s="32">
        <f>Üldharidus!AJ29</f>
        <v>3902543</v>
      </c>
      <c r="F29" s="32">
        <f>Üldharidus!AQ29</f>
        <v>0</v>
      </c>
      <c r="G29" s="32">
        <f>Üldharidus!AR29</f>
        <v>160045</v>
      </c>
      <c r="H29" s="32">
        <f>Üldharidus!AS29</f>
        <v>21885</v>
      </c>
      <c r="I29" s="32">
        <f>Üldharidus!AT29</f>
        <v>70851</v>
      </c>
      <c r="J29" s="32">
        <f>Üldharidus!AU29</f>
        <v>217175</v>
      </c>
      <c r="K29" s="32">
        <f>Üldharidus!AV29</f>
        <v>187272</v>
      </c>
      <c r="L29" s="32">
        <f>Üldharidus!AW29</f>
        <v>15150</v>
      </c>
      <c r="M29" s="32">
        <f>Lasteaed!G29</f>
        <v>187895</v>
      </c>
      <c r="N29" s="32">
        <f>Huvitegevus!U29</f>
        <v>153664</v>
      </c>
      <c r="O29" s="32">
        <f>'Abivajadusega lapsed'!E29</f>
        <v>26668</v>
      </c>
      <c r="P29" s="32">
        <f>Toimetulekutoetus!P29+Toimetulekutoetus!V29</f>
        <v>135401</v>
      </c>
      <c r="Q29" s="32">
        <f>Rahvastikutoimingud!AA29</f>
        <v>12340</v>
      </c>
      <c r="R29" s="32">
        <f>'Kohalikud teed'!K29</f>
        <v>411577</v>
      </c>
      <c r="S29" s="32"/>
      <c r="T29" s="33">
        <f t="shared" si="1"/>
        <v>8034278</v>
      </c>
      <c r="U29" s="32">
        <v>86798</v>
      </c>
      <c r="V29" s="32">
        <f>Toimetulekutoetus!V29</f>
        <v>31000</v>
      </c>
    </row>
    <row r="30" spans="1:22" x14ac:dyDescent="0.2">
      <c r="A30" s="27" t="s">
        <v>55</v>
      </c>
      <c r="B30" s="28" t="s">
        <v>219</v>
      </c>
      <c r="C30" s="32">
        <f>Tasandusfond!BC30</f>
        <v>1385965</v>
      </c>
      <c r="D30" s="32">
        <f t="shared" si="0"/>
        <v>2070301</v>
      </c>
      <c r="E30" s="32">
        <f>Üldharidus!AJ30</f>
        <v>1600763</v>
      </c>
      <c r="F30" s="32">
        <f>Üldharidus!AQ30</f>
        <v>190922</v>
      </c>
      <c r="G30" s="32">
        <f>Üldharidus!AR30</f>
        <v>106506</v>
      </c>
      <c r="H30" s="32">
        <f>Üldharidus!AS30</f>
        <v>11468</v>
      </c>
      <c r="I30" s="32">
        <f>Üldharidus!AT30</f>
        <v>24738</v>
      </c>
      <c r="J30" s="32">
        <f>Üldharidus!AU30</f>
        <v>75950</v>
      </c>
      <c r="K30" s="32">
        <f>Üldharidus!AV30</f>
        <v>53489</v>
      </c>
      <c r="L30" s="32">
        <f>Üldharidus!AW30</f>
        <v>6465</v>
      </c>
      <c r="M30" s="32">
        <f>Lasteaed!G30</f>
        <v>86714</v>
      </c>
      <c r="N30" s="32">
        <f>Huvitegevus!U30</f>
        <v>83619</v>
      </c>
      <c r="O30" s="32">
        <f>'Abivajadusega lapsed'!E30</f>
        <v>10753</v>
      </c>
      <c r="P30" s="32">
        <f>Toimetulekutoetus!P30+Toimetulekutoetus!V30</f>
        <v>93128</v>
      </c>
      <c r="Q30" s="32">
        <f>Rahvastikutoimingud!AA30</f>
        <v>174</v>
      </c>
      <c r="R30" s="32">
        <f>'Kohalikud teed'!K30</f>
        <v>267353</v>
      </c>
      <c r="S30" s="32"/>
      <c r="T30" s="33">
        <f t="shared" si="1"/>
        <v>3998007</v>
      </c>
      <c r="U30" s="32">
        <v>39851</v>
      </c>
      <c r="V30" s="32">
        <f>Toimetulekutoetus!V30</f>
        <v>0</v>
      </c>
    </row>
    <row r="31" spans="1:22" x14ac:dyDescent="0.2">
      <c r="A31" s="27" t="s">
        <v>55</v>
      </c>
      <c r="B31" s="28" t="s">
        <v>124</v>
      </c>
      <c r="C31" s="32">
        <f>Tasandusfond!BC31</f>
        <v>2088420</v>
      </c>
      <c r="D31" s="32">
        <f t="shared" si="0"/>
        <v>3959608</v>
      </c>
      <c r="E31" s="32">
        <f>Üldharidus!AJ31</f>
        <v>2976368</v>
      </c>
      <c r="F31" s="32">
        <f>Üldharidus!AQ31</f>
        <v>380074</v>
      </c>
      <c r="G31" s="32">
        <f>Üldharidus!AR31</f>
        <v>132555</v>
      </c>
      <c r="H31" s="32">
        <f>Üldharidus!AS31</f>
        <v>17988</v>
      </c>
      <c r="I31" s="32">
        <f>Üldharidus!AT31</f>
        <v>54948</v>
      </c>
      <c r="J31" s="32">
        <f>Üldharidus!AU31</f>
        <v>168525</v>
      </c>
      <c r="K31" s="32">
        <f>Üldharidus!AV31</f>
        <v>217872</v>
      </c>
      <c r="L31" s="32">
        <f>Üldharidus!AW31</f>
        <v>11278</v>
      </c>
      <c r="M31" s="32">
        <f>Lasteaed!G31</f>
        <v>137283</v>
      </c>
      <c r="N31" s="32">
        <f>Huvitegevus!U31</f>
        <v>118849</v>
      </c>
      <c r="O31" s="32">
        <f>'Abivajadusega lapsed'!E31</f>
        <v>17635</v>
      </c>
      <c r="P31" s="32">
        <f>Toimetulekutoetus!P31+Toimetulekutoetus!V31</f>
        <v>110528</v>
      </c>
      <c r="Q31" s="32">
        <f>Rahvastikutoimingud!AA31</f>
        <v>521</v>
      </c>
      <c r="R31" s="32">
        <f>'Kohalikud teed'!K31</f>
        <v>263207</v>
      </c>
      <c r="S31" s="32"/>
      <c r="T31" s="33">
        <f t="shared" si="1"/>
        <v>6696051</v>
      </c>
      <c r="U31" s="32">
        <v>74652</v>
      </c>
      <c r="V31" s="32">
        <f>Toimetulekutoetus!V31</f>
        <v>25000</v>
      </c>
    </row>
    <row r="32" spans="1:22" x14ac:dyDescent="0.2">
      <c r="A32" s="27" t="s">
        <v>52</v>
      </c>
      <c r="B32" s="28" t="s">
        <v>220</v>
      </c>
      <c r="C32" s="32">
        <f>Tasandusfond!BC32</f>
        <v>2079608</v>
      </c>
      <c r="D32" s="32">
        <f t="shared" si="0"/>
        <v>4240853</v>
      </c>
      <c r="E32" s="32">
        <f>Üldharidus!AJ32</f>
        <v>3394668</v>
      </c>
      <c r="F32" s="32">
        <f>Üldharidus!AQ32</f>
        <v>250274</v>
      </c>
      <c r="G32" s="32">
        <f>Üldharidus!AR32</f>
        <v>157539</v>
      </c>
      <c r="H32" s="32">
        <f>Üldharidus!AS32</f>
        <v>17655</v>
      </c>
      <c r="I32" s="32">
        <f>Üldharidus!AT32</f>
        <v>55803</v>
      </c>
      <c r="J32" s="32">
        <f>Üldharidus!AU32</f>
        <v>168000</v>
      </c>
      <c r="K32" s="32">
        <f>Üldharidus!AV32</f>
        <v>183600</v>
      </c>
      <c r="L32" s="32">
        <f>Üldharidus!AW32</f>
        <v>13314</v>
      </c>
      <c r="M32" s="32">
        <f>Lasteaed!G32</f>
        <v>164913</v>
      </c>
      <c r="N32" s="32">
        <f>Huvitegevus!U32</f>
        <v>158846</v>
      </c>
      <c r="O32" s="32">
        <f>'Abivajadusega lapsed'!E32</f>
        <v>26668</v>
      </c>
      <c r="P32" s="32">
        <f>Toimetulekutoetus!P32+Toimetulekutoetus!V32</f>
        <v>82342</v>
      </c>
      <c r="Q32" s="32">
        <f>Rahvastikutoimingud!AA32</f>
        <v>570</v>
      </c>
      <c r="R32" s="32">
        <f>'Kohalikud teed'!K32</f>
        <v>498578</v>
      </c>
      <c r="S32" s="32"/>
      <c r="T32" s="33">
        <f t="shared" si="1"/>
        <v>7252378</v>
      </c>
      <c r="U32" s="32">
        <v>81068</v>
      </c>
      <c r="V32" s="32">
        <f>Toimetulekutoetus!V32</f>
        <v>0</v>
      </c>
    </row>
    <row r="33" spans="1:22" x14ac:dyDescent="0.2">
      <c r="A33" s="27" t="s">
        <v>52</v>
      </c>
      <c r="B33" s="28" t="s">
        <v>51</v>
      </c>
      <c r="C33" s="32">
        <f>Tasandusfond!BC33</f>
        <v>555958</v>
      </c>
      <c r="D33" s="32">
        <f t="shared" si="0"/>
        <v>3463468</v>
      </c>
      <c r="E33" s="32">
        <f>Üldharidus!AJ33</f>
        <v>2869275</v>
      </c>
      <c r="F33" s="32">
        <f>Üldharidus!AQ33</f>
        <v>0</v>
      </c>
      <c r="G33" s="32">
        <f>Üldharidus!AR33</f>
        <v>126262</v>
      </c>
      <c r="H33" s="32">
        <f>Üldharidus!AS33</f>
        <v>17136</v>
      </c>
      <c r="I33" s="32">
        <f>Üldharidus!AT33</f>
        <v>55917</v>
      </c>
      <c r="J33" s="32">
        <f>Üldharidus!AU33</f>
        <v>171325</v>
      </c>
      <c r="K33" s="32">
        <f>Üldharidus!AV33</f>
        <v>212976</v>
      </c>
      <c r="L33" s="32">
        <f>Üldharidus!AW33</f>
        <v>10577</v>
      </c>
      <c r="M33" s="32">
        <f>Lasteaed!G33</f>
        <v>171155</v>
      </c>
      <c r="N33" s="32">
        <f>Huvitegevus!U33</f>
        <v>96301</v>
      </c>
      <c r="O33" s="32">
        <f>'Abivajadusega lapsed'!E33</f>
        <v>25807</v>
      </c>
      <c r="P33" s="32">
        <f>Toimetulekutoetus!P33+Toimetulekutoetus!V33</f>
        <v>257425</v>
      </c>
      <c r="Q33" s="32">
        <f>Rahvastikutoimingud!AA33</f>
        <v>11986</v>
      </c>
      <c r="R33" s="32">
        <f>'Kohalikud teed'!K33</f>
        <v>290582</v>
      </c>
      <c r="S33" s="32"/>
      <c r="T33" s="33">
        <f t="shared" si="1"/>
        <v>4872682</v>
      </c>
      <c r="U33" s="32">
        <v>63816</v>
      </c>
      <c r="V33" s="32">
        <f>Toimetulekutoetus!V33</f>
        <v>52000</v>
      </c>
    </row>
    <row r="34" spans="1:22" x14ac:dyDescent="0.2">
      <c r="A34" s="27" t="s">
        <v>52</v>
      </c>
      <c r="B34" s="28" t="s">
        <v>123</v>
      </c>
      <c r="C34" s="32">
        <f>Tasandusfond!BC34</f>
        <v>1413750</v>
      </c>
      <c r="D34" s="32">
        <f t="shared" si="0"/>
        <v>4311258</v>
      </c>
      <c r="E34" s="32">
        <f>Üldharidus!AJ34</f>
        <v>3384255</v>
      </c>
      <c r="F34" s="32">
        <f>Üldharidus!AQ34</f>
        <v>291081</v>
      </c>
      <c r="G34" s="32">
        <f>Üldharidus!AR34</f>
        <v>145446</v>
      </c>
      <c r="H34" s="32">
        <f>Üldharidus!AS34</f>
        <v>18574</v>
      </c>
      <c r="I34" s="32">
        <f>Üldharidus!AT34</f>
        <v>58710</v>
      </c>
      <c r="J34" s="32">
        <f>Üldharidus!AU34</f>
        <v>177450</v>
      </c>
      <c r="K34" s="32">
        <f>Üldharidus!AV34</f>
        <v>222768</v>
      </c>
      <c r="L34" s="32">
        <f>Üldharidus!AW34</f>
        <v>12974</v>
      </c>
      <c r="M34" s="32">
        <f>Lasteaed!G34</f>
        <v>137119</v>
      </c>
      <c r="N34" s="32">
        <f>Huvitegevus!U34</f>
        <v>122214</v>
      </c>
      <c r="O34" s="32">
        <f>'Abivajadusega lapsed'!E34</f>
        <v>24947</v>
      </c>
      <c r="P34" s="32">
        <f>Toimetulekutoetus!P34+Toimetulekutoetus!V34</f>
        <v>348774</v>
      </c>
      <c r="Q34" s="32">
        <f>Rahvastikutoimingud!AA34</f>
        <v>694</v>
      </c>
      <c r="R34" s="32">
        <f>'Kohalikud teed'!K34</f>
        <v>424518</v>
      </c>
      <c r="S34" s="32"/>
      <c r="T34" s="33">
        <f t="shared" si="1"/>
        <v>6783274</v>
      </c>
      <c r="U34" s="32">
        <v>81744</v>
      </c>
      <c r="V34" s="32">
        <f>Toimetulekutoetus!V34</f>
        <v>78000</v>
      </c>
    </row>
    <row r="35" spans="1:22" x14ac:dyDescent="0.2">
      <c r="A35" s="27" t="s">
        <v>47</v>
      </c>
      <c r="B35" s="28" t="s">
        <v>48</v>
      </c>
      <c r="C35" s="32">
        <f>Tasandusfond!BC35</f>
        <v>1468064</v>
      </c>
      <c r="D35" s="32">
        <f t="shared" si="0"/>
        <v>4246685</v>
      </c>
      <c r="E35" s="32">
        <f>Üldharidus!AJ35</f>
        <v>3612960</v>
      </c>
      <c r="F35" s="32">
        <f>Üldharidus!AQ35</f>
        <v>0</v>
      </c>
      <c r="G35" s="32">
        <f>Üldharidus!AR35</f>
        <v>139738</v>
      </c>
      <c r="H35" s="32">
        <f>Üldharidus!AS35</f>
        <v>17001</v>
      </c>
      <c r="I35" s="32">
        <f>Üldharidus!AT35</f>
        <v>70908</v>
      </c>
      <c r="J35" s="32">
        <f>Üldharidus!AU35</f>
        <v>217175</v>
      </c>
      <c r="K35" s="32">
        <f>Üldharidus!AV35</f>
        <v>175032</v>
      </c>
      <c r="L35" s="32">
        <f>Üldharidus!AW35</f>
        <v>13871</v>
      </c>
      <c r="M35" s="32">
        <f>Lasteaed!G35</f>
        <v>157803</v>
      </c>
      <c r="N35" s="32">
        <f>Huvitegevus!U35</f>
        <v>146630</v>
      </c>
      <c r="O35" s="32">
        <f>'Abivajadusega lapsed'!E35</f>
        <v>27958</v>
      </c>
      <c r="P35" s="32">
        <f>Toimetulekutoetus!P35+Toimetulekutoetus!V35</f>
        <v>475096</v>
      </c>
      <c r="Q35" s="32">
        <f>Rahvastikutoimingud!AA35</f>
        <v>16270</v>
      </c>
      <c r="R35" s="32">
        <f>'Kohalikud teed'!K35</f>
        <v>378648</v>
      </c>
      <c r="S35" s="32"/>
      <c r="T35" s="33">
        <f t="shared" si="1"/>
        <v>6917154</v>
      </c>
      <c r="U35" s="32">
        <v>80356</v>
      </c>
      <c r="V35" s="32">
        <f>Toimetulekutoetus!V35</f>
        <v>37000</v>
      </c>
    </row>
    <row r="36" spans="1:22" x14ac:dyDescent="0.2">
      <c r="A36" s="27" t="s">
        <v>47</v>
      </c>
      <c r="B36" s="28" t="s">
        <v>122</v>
      </c>
      <c r="C36" s="32">
        <f>Tasandusfond!BC36</f>
        <v>1505745</v>
      </c>
      <c r="D36" s="32">
        <f t="shared" ref="D36:D67" si="2">E36+F36+G36+H36+I36+J36+K36+L36</f>
        <v>3526225</v>
      </c>
      <c r="E36" s="32">
        <f>Üldharidus!AJ36</f>
        <v>3006355</v>
      </c>
      <c r="F36" s="32">
        <f>Üldharidus!AQ36</f>
        <v>104742</v>
      </c>
      <c r="G36" s="32">
        <f>Üldharidus!AR36</f>
        <v>122691</v>
      </c>
      <c r="H36" s="32">
        <f>Üldharidus!AS36</f>
        <v>13732</v>
      </c>
      <c r="I36" s="32">
        <f>Üldharidus!AT36</f>
        <v>44289</v>
      </c>
      <c r="J36" s="32">
        <f>Üldharidus!AU36</f>
        <v>135275</v>
      </c>
      <c r="K36" s="32">
        <f>Üldharidus!AV36</f>
        <v>86904</v>
      </c>
      <c r="L36" s="32">
        <f>Üldharidus!AW36</f>
        <v>12237</v>
      </c>
      <c r="M36" s="32">
        <f>Lasteaed!G36</f>
        <v>71623</v>
      </c>
      <c r="N36" s="32">
        <f>Huvitegevus!U36</f>
        <v>109355</v>
      </c>
      <c r="O36" s="32">
        <f>'Abivajadusega lapsed'!E36</f>
        <v>13334</v>
      </c>
      <c r="P36" s="32">
        <f>Toimetulekutoetus!P36+Toimetulekutoetus!V36</f>
        <v>130106</v>
      </c>
      <c r="Q36" s="32">
        <f>Rahvastikutoimingud!AA36</f>
        <v>416</v>
      </c>
      <c r="R36" s="32">
        <f>'Kohalikud teed'!K36</f>
        <v>493926</v>
      </c>
      <c r="S36" s="32"/>
      <c r="T36" s="33">
        <f t="shared" si="1"/>
        <v>5850730</v>
      </c>
      <c r="U36" s="32">
        <v>69195</v>
      </c>
      <c r="V36" s="32">
        <f>Toimetulekutoetus!V36</f>
        <v>43000</v>
      </c>
    </row>
    <row r="37" spans="1:22" x14ac:dyDescent="0.2">
      <c r="A37" s="27" t="s">
        <v>47</v>
      </c>
      <c r="B37" s="28" t="s">
        <v>121</v>
      </c>
      <c r="C37" s="32">
        <f>Tasandusfond!BC37</f>
        <v>140250</v>
      </c>
      <c r="D37" s="32">
        <f t="shared" si="2"/>
        <v>242743</v>
      </c>
      <c r="E37" s="32">
        <f>Üldharidus!AJ37</f>
        <v>227929</v>
      </c>
      <c r="F37" s="32">
        <f>Üldharidus!AQ37</f>
        <v>0</v>
      </c>
      <c r="G37" s="32">
        <f>Üldharidus!AR37</f>
        <v>6621</v>
      </c>
      <c r="H37" s="32">
        <f>Üldharidus!AS37</f>
        <v>984</v>
      </c>
      <c r="I37" s="32">
        <f>Üldharidus!AT37</f>
        <v>1197</v>
      </c>
      <c r="J37" s="32">
        <f>Üldharidus!AU37</f>
        <v>3150</v>
      </c>
      <c r="K37" s="32">
        <f>Üldharidus!AV37</f>
        <v>2448</v>
      </c>
      <c r="L37" s="32">
        <f>Üldharidus!AW37</f>
        <v>414</v>
      </c>
      <c r="M37" s="32">
        <f>Lasteaed!G37</f>
        <v>798</v>
      </c>
      <c r="N37" s="32">
        <f>Huvitegevus!U37</f>
        <v>2426</v>
      </c>
      <c r="O37" s="32">
        <f>'Abivajadusega lapsed'!E37</f>
        <v>430</v>
      </c>
      <c r="P37" s="32">
        <f>Toimetulekutoetus!P37+Toimetulekutoetus!V37</f>
        <v>2026</v>
      </c>
      <c r="Q37" s="32">
        <f>Rahvastikutoimingud!AA37</f>
        <v>4</v>
      </c>
      <c r="R37" s="32">
        <f>'Kohalikud teed'!K37</f>
        <v>25797</v>
      </c>
      <c r="S37" s="32"/>
      <c r="T37" s="33">
        <f t="shared" si="1"/>
        <v>414474</v>
      </c>
      <c r="U37" s="32">
        <v>5005</v>
      </c>
      <c r="V37" s="32">
        <f>Toimetulekutoetus!V37</f>
        <v>0</v>
      </c>
    </row>
    <row r="38" spans="1:22" x14ac:dyDescent="0.2">
      <c r="A38" s="27" t="s">
        <v>38</v>
      </c>
      <c r="B38" s="28" t="s">
        <v>120</v>
      </c>
      <c r="C38" s="32">
        <f>Tasandusfond!BC38</f>
        <v>134699</v>
      </c>
      <c r="D38" s="32">
        <f t="shared" si="2"/>
        <v>1263867</v>
      </c>
      <c r="E38" s="32">
        <f>Üldharidus!AJ38</f>
        <v>1080776</v>
      </c>
      <c r="F38" s="32">
        <f>Üldharidus!AQ38</f>
        <v>0</v>
      </c>
      <c r="G38" s="32">
        <f>Üldharidus!AR38</f>
        <v>46029</v>
      </c>
      <c r="H38" s="32">
        <f>Üldharidus!AS38</f>
        <v>5159</v>
      </c>
      <c r="I38" s="32">
        <f>Üldharidus!AT38</f>
        <v>17841</v>
      </c>
      <c r="J38" s="32">
        <f>Üldharidus!AU38</f>
        <v>54775</v>
      </c>
      <c r="K38" s="32">
        <f>Üldharidus!AV38</f>
        <v>55080</v>
      </c>
      <c r="L38" s="32">
        <f>Üldharidus!AW38</f>
        <v>4207</v>
      </c>
      <c r="M38" s="32">
        <f>Lasteaed!G38</f>
        <v>85681</v>
      </c>
      <c r="N38" s="32">
        <f>Huvitegevus!U38</f>
        <v>49989</v>
      </c>
      <c r="O38" s="32">
        <f>'Abivajadusega lapsed'!E38</f>
        <v>3011</v>
      </c>
      <c r="P38" s="32">
        <f>Toimetulekutoetus!P38+Toimetulekutoetus!V38</f>
        <v>6046</v>
      </c>
      <c r="Q38" s="32">
        <f>Rahvastikutoimingud!AA38</f>
        <v>164</v>
      </c>
      <c r="R38" s="32">
        <f>'Kohalikud teed'!K38</f>
        <v>179993</v>
      </c>
      <c r="S38" s="32"/>
      <c r="T38" s="33">
        <f t="shared" si="1"/>
        <v>1723450</v>
      </c>
      <c r="U38" s="32">
        <v>24038</v>
      </c>
      <c r="V38" s="32">
        <f>Toimetulekutoetus!V38</f>
        <v>0</v>
      </c>
    </row>
    <row r="39" spans="1:22" x14ac:dyDescent="0.2">
      <c r="A39" s="27" t="s">
        <v>38</v>
      </c>
      <c r="B39" s="28" t="s">
        <v>119</v>
      </c>
      <c r="C39" s="32">
        <f>Tasandusfond!BC39</f>
        <v>453357</v>
      </c>
      <c r="D39" s="32">
        <f t="shared" si="2"/>
        <v>2246036</v>
      </c>
      <c r="E39" s="32">
        <f>Üldharidus!AJ39</f>
        <v>1557529</v>
      </c>
      <c r="F39" s="32">
        <f>Üldharidus!AQ39</f>
        <v>367236</v>
      </c>
      <c r="G39" s="32">
        <f>Üldharidus!AR39</f>
        <v>58788</v>
      </c>
      <c r="H39" s="32">
        <f>Üldharidus!AS39</f>
        <v>8199</v>
      </c>
      <c r="I39" s="32">
        <f>Üldharidus!AT39</f>
        <v>36423</v>
      </c>
      <c r="J39" s="32">
        <f>Üldharidus!AU39</f>
        <v>111650</v>
      </c>
      <c r="K39" s="32">
        <f>Üldharidus!AV39</f>
        <v>100368</v>
      </c>
      <c r="L39" s="32">
        <f>Üldharidus!AW39</f>
        <v>5843</v>
      </c>
      <c r="M39" s="32">
        <f>Lasteaed!G39</f>
        <v>51945</v>
      </c>
      <c r="N39" s="32">
        <f>Huvitegevus!U39</f>
        <v>61549</v>
      </c>
      <c r="O39" s="32">
        <f>'Abivajadusega lapsed'!E39</f>
        <v>13334</v>
      </c>
      <c r="P39" s="32">
        <f>Toimetulekutoetus!P39+Toimetulekutoetus!V39</f>
        <v>138692</v>
      </c>
      <c r="Q39" s="32">
        <f>Rahvastikutoimingud!AA39</f>
        <v>181</v>
      </c>
      <c r="R39" s="32">
        <f>'Kohalikud teed'!K39</f>
        <v>143821</v>
      </c>
      <c r="S39" s="32"/>
      <c r="T39" s="33">
        <f t="shared" si="1"/>
        <v>3108915</v>
      </c>
      <c r="U39" s="32">
        <v>42808</v>
      </c>
      <c r="V39" s="32">
        <f>Toimetulekutoetus!V39</f>
        <v>42000</v>
      </c>
    </row>
    <row r="40" spans="1:22" x14ac:dyDescent="0.2">
      <c r="A40" s="27" t="s">
        <v>38</v>
      </c>
      <c r="B40" s="28" t="s">
        <v>118</v>
      </c>
      <c r="C40" s="32">
        <f>Tasandusfond!BC40</f>
        <v>760652</v>
      </c>
      <c r="D40" s="32">
        <f t="shared" si="2"/>
        <v>2601739</v>
      </c>
      <c r="E40" s="32">
        <f>Üldharidus!AJ40</f>
        <v>2094175</v>
      </c>
      <c r="F40" s="32">
        <f>Üldharidus!AQ40</f>
        <v>0</v>
      </c>
      <c r="G40" s="32">
        <f>Üldharidus!AR40</f>
        <v>54947</v>
      </c>
      <c r="H40" s="32">
        <f>Üldharidus!AS40</f>
        <v>5975</v>
      </c>
      <c r="I40" s="32">
        <f>Üldharidus!AT40</f>
        <v>27075</v>
      </c>
      <c r="J40" s="32">
        <f>Üldharidus!AU40</f>
        <v>83125</v>
      </c>
      <c r="K40" s="32">
        <f>Üldharidus!AV40</f>
        <v>329256</v>
      </c>
      <c r="L40" s="32">
        <f>Üldharidus!AW40</f>
        <v>7186</v>
      </c>
      <c r="M40" s="32">
        <f>Lasteaed!G40</f>
        <v>62791</v>
      </c>
      <c r="N40" s="32">
        <f>Huvitegevus!U40</f>
        <v>91760</v>
      </c>
      <c r="O40" s="32">
        <f>'Abivajadusega lapsed'!E40</f>
        <v>13764</v>
      </c>
      <c r="P40" s="32">
        <f>Toimetulekutoetus!P40+Toimetulekutoetus!V40</f>
        <v>41529</v>
      </c>
      <c r="Q40" s="32">
        <f>Rahvastikutoimingud!AA40</f>
        <v>233</v>
      </c>
      <c r="R40" s="32">
        <f>'Kohalikud teed'!K40</f>
        <v>217955</v>
      </c>
      <c r="S40" s="32"/>
      <c r="T40" s="33">
        <f t="shared" si="1"/>
        <v>3790423</v>
      </c>
      <c r="U40" s="32">
        <v>46577</v>
      </c>
      <c r="V40" s="32">
        <f>Toimetulekutoetus!V40</f>
        <v>10000</v>
      </c>
    </row>
    <row r="41" spans="1:22" x14ac:dyDescent="0.2">
      <c r="A41" s="27" t="s">
        <v>38</v>
      </c>
      <c r="B41" s="28" t="s">
        <v>37</v>
      </c>
      <c r="C41" s="32">
        <f>Tasandusfond!BC41</f>
        <v>1779694</v>
      </c>
      <c r="D41" s="32">
        <f t="shared" si="2"/>
        <v>5350259</v>
      </c>
      <c r="E41" s="32">
        <f>Üldharidus!AJ41</f>
        <v>4438763</v>
      </c>
      <c r="F41" s="32">
        <f>Üldharidus!AQ41</f>
        <v>0</v>
      </c>
      <c r="G41" s="32">
        <f>Üldharidus!AR41</f>
        <v>161729</v>
      </c>
      <c r="H41" s="32">
        <f>Üldharidus!AS41</f>
        <v>25349</v>
      </c>
      <c r="I41" s="32">
        <f>Üldharidus!AT41</f>
        <v>90858</v>
      </c>
      <c r="J41" s="32">
        <f>Üldharidus!AU41</f>
        <v>278425</v>
      </c>
      <c r="K41" s="32">
        <f>Üldharidus!AV41</f>
        <v>339048</v>
      </c>
      <c r="L41" s="32">
        <f>Üldharidus!AW41</f>
        <v>16087</v>
      </c>
      <c r="M41" s="32">
        <f>Lasteaed!G41</f>
        <v>154375</v>
      </c>
      <c r="N41" s="32">
        <f>Huvitegevus!U41</f>
        <v>84900</v>
      </c>
      <c r="O41" s="32">
        <f>'Abivajadusega lapsed'!E41</f>
        <v>28388</v>
      </c>
      <c r="P41" s="32">
        <f>Toimetulekutoetus!P41+Toimetulekutoetus!V41</f>
        <v>471746</v>
      </c>
      <c r="Q41" s="32">
        <f>Rahvastikutoimingud!AA41</f>
        <v>33123</v>
      </c>
      <c r="R41" s="32">
        <f>'Kohalikud teed'!K41</f>
        <v>326672</v>
      </c>
      <c r="S41" s="32"/>
      <c r="T41" s="33">
        <f t="shared" si="1"/>
        <v>8229157</v>
      </c>
      <c r="U41" s="32">
        <v>98723</v>
      </c>
      <c r="V41" s="32">
        <f>Toimetulekutoetus!V41</f>
        <v>0</v>
      </c>
    </row>
    <row r="42" spans="1:22" x14ac:dyDescent="0.2">
      <c r="A42" s="27" t="s">
        <v>38</v>
      </c>
      <c r="B42" s="28" t="s">
        <v>117</v>
      </c>
      <c r="C42" s="32">
        <f>Tasandusfond!BC42</f>
        <v>3100830</v>
      </c>
      <c r="D42" s="32">
        <f t="shared" si="2"/>
        <v>4170396</v>
      </c>
      <c r="E42" s="32">
        <f>Üldharidus!AJ42</f>
        <v>3088792</v>
      </c>
      <c r="F42" s="32">
        <f>Üldharidus!AQ42</f>
        <v>450907</v>
      </c>
      <c r="G42" s="32">
        <f>Üldharidus!AR42</f>
        <v>140004</v>
      </c>
      <c r="H42" s="32">
        <f>Üldharidus!AS42</f>
        <v>18795</v>
      </c>
      <c r="I42" s="32">
        <f>Üldharidus!AT42</f>
        <v>64581</v>
      </c>
      <c r="J42" s="32">
        <f>Üldharidus!AU42</f>
        <v>187600</v>
      </c>
      <c r="K42" s="32">
        <f>Üldharidus!AV42</f>
        <v>208080</v>
      </c>
      <c r="L42" s="32">
        <f>Üldharidus!AW42</f>
        <v>11637</v>
      </c>
      <c r="M42" s="32">
        <f>Lasteaed!G42</f>
        <v>135234</v>
      </c>
      <c r="N42" s="32">
        <f>Huvitegevus!U42</f>
        <v>148672</v>
      </c>
      <c r="O42" s="32">
        <f>'Abivajadusega lapsed'!E42</f>
        <v>29679</v>
      </c>
      <c r="P42" s="32">
        <f>Toimetulekutoetus!P42+Toimetulekutoetus!V42</f>
        <v>368095</v>
      </c>
      <c r="Q42" s="32">
        <f>Rahvastikutoimingud!AA42</f>
        <v>407</v>
      </c>
      <c r="R42" s="32">
        <f>'Kohalikud teed'!K42</f>
        <v>464574</v>
      </c>
      <c r="S42" s="32"/>
      <c r="T42" s="33">
        <f t="shared" si="1"/>
        <v>8417887</v>
      </c>
      <c r="U42" s="32">
        <v>78727</v>
      </c>
      <c r="V42" s="32">
        <f>Toimetulekutoetus!V42</f>
        <v>65000</v>
      </c>
    </row>
    <row r="43" spans="1:22" x14ac:dyDescent="0.2">
      <c r="A43" s="27" t="s">
        <v>38</v>
      </c>
      <c r="B43" s="28" t="s">
        <v>116</v>
      </c>
      <c r="C43" s="32">
        <f>Tasandusfond!BC43</f>
        <v>1792325</v>
      </c>
      <c r="D43" s="32">
        <f t="shared" si="2"/>
        <v>2767929</v>
      </c>
      <c r="E43" s="32">
        <f>Üldharidus!AJ43</f>
        <v>2196411</v>
      </c>
      <c r="F43" s="32">
        <f>Üldharidus!AQ43</f>
        <v>189855</v>
      </c>
      <c r="G43" s="32">
        <f>Üldharidus!AR43</f>
        <v>96413</v>
      </c>
      <c r="H43" s="32">
        <f>Üldharidus!AS43</f>
        <v>10536</v>
      </c>
      <c r="I43" s="32">
        <f>Üldharidus!AT43</f>
        <v>37107</v>
      </c>
      <c r="J43" s="32">
        <f>Üldharidus!AU43</f>
        <v>113925</v>
      </c>
      <c r="K43" s="32">
        <f>Üldharidus!AV43</f>
        <v>115056</v>
      </c>
      <c r="L43" s="32">
        <f>Üldharidus!AW43</f>
        <v>8626</v>
      </c>
      <c r="M43" s="32">
        <f>Lasteaed!G43</f>
        <v>93271</v>
      </c>
      <c r="N43" s="32">
        <f>Huvitegevus!U43</f>
        <v>112728</v>
      </c>
      <c r="O43" s="32">
        <f>'Abivajadusega lapsed'!E43</f>
        <v>12904</v>
      </c>
      <c r="P43" s="32">
        <f>Toimetulekutoetus!P43+Toimetulekutoetus!V43</f>
        <v>157691</v>
      </c>
      <c r="Q43" s="32">
        <f>Rahvastikutoimingud!AA43</f>
        <v>287</v>
      </c>
      <c r="R43" s="32">
        <f>'Kohalikud teed'!K43</f>
        <v>450522</v>
      </c>
      <c r="S43" s="32"/>
      <c r="T43" s="33">
        <f t="shared" si="1"/>
        <v>5387657</v>
      </c>
      <c r="U43" s="32">
        <v>53074</v>
      </c>
      <c r="V43" s="32">
        <f>Toimetulekutoetus!V43</f>
        <v>11000</v>
      </c>
    </row>
    <row r="44" spans="1:22" x14ac:dyDescent="0.2">
      <c r="A44" s="27" t="s">
        <v>38</v>
      </c>
      <c r="B44" s="28" t="s">
        <v>115</v>
      </c>
      <c r="C44" s="32">
        <f>Tasandusfond!BC44</f>
        <v>1285335</v>
      </c>
      <c r="D44" s="32">
        <f t="shared" si="2"/>
        <v>2114451</v>
      </c>
      <c r="E44" s="32">
        <f>Üldharidus!AJ44</f>
        <v>1691707</v>
      </c>
      <c r="F44" s="32">
        <f>Üldharidus!AQ44</f>
        <v>96887</v>
      </c>
      <c r="G44" s="32">
        <f>Üldharidus!AR44</f>
        <v>76723</v>
      </c>
      <c r="H44" s="32">
        <f>Üldharidus!AS44</f>
        <v>9349</v>
      </c>
      <c r="I44" s="32">
        <f>Üldharidus!AT44</f>
        <v>28842</v>
      </c>
      <c r="J44" s="32">
        <f>Üldharidus!AU44</f>
        <v>88200</v>
      </c>
      <c r="K44" s="32">
        <f>Üldharidus!AV44</f>
        <v>116280</v>
      </c>
      <c r="L44" s="32">
        <f>Üldharidus!AW44</f>
        <v>6463</v>
      </c>
      <c r="M44" s="32">
        <f>Lasteaed!G44</f>
        <v>96419</v>
      </c>
      <c r="N44" s="32">
        <f>Huvitegevus!U44</f>
        <v>88008</v>
      </c>
      <c r="O44" s="32">
        <f>'Abivajadusega lapsed'!E44</f>
        <v>16345</v>
      </c>
      <c r="P44" s="32">
        <f>Toimetulekutoetus!P44+Toimetulekutoetus!V44</f>
        <v>263623</v>
      </c>
      <c r="Q44" s="32">
        <f>Rahvastikutoimingud!AA44</f>
        <v>259</v>
      </c>
      <c r="R44" s="32">
        <f>'Kohalikud teed'!K44</f>
        <v>232088</v>
      </c>
      <c r="S44" s="32"/>
      <c r="T44" s="33">
        <f t="shared" si="1"/>
        <v>4096528</v>
      </c>
      <c r="U44" s="32">
        <v>39781</v>
      </c>
      <c r="V44" s="32">
        <f>Toimetulekutoetus!V44</f>
        <v>63000</v>
      </c>
    </row>
    <row r="45" spans="1:22" x14ac:dyDescent="0.2">
      <c r="A45" s="27" t="s">
        <v>38</v>
      </c>
      <c r="B45" s="28" t="s">
        <v>114</v>
      </c>
      <c r="C45" s="32">
        <f>Tasandusfond!BC45</f>
        <v>1598543</v>
      </c>
      <c r="D45" s="32">
        <f t="shared" si="2"/>
        <v>2617581</v>
      </c>
      <c r="E45" s="32">
        <f>Üldharidus!AJ45</f>
        <v>2102030</v>
      </c>
      <c r="F45" s="32">
        <f>Üldharidus!AQ45</f>
        <v>153901</v>
      </c>
      <c r="G45" s="32">
        <f>Üldharidus!AR45</f>
        <v>91905</v>
      </c>
      <c r="H45" s="32">
        <f>Üldharidus!AS45</f>
        <v>11024</v>
      </c>
      <c r="I45" s="32">
        <f>Üldharidus!AT45</f>
        <v>35454</v>
      </c>
      <c r="J45" s="32">
        <f>Üldharidus!AU45</f>
        <v>108500</v>
      </c>
      <c r="K45" s="32">
        <f>Üldharidus!AV45</f>
        <v>106488</v>
      </c>
      <c r="L45" s="32">
        <f>Üldharidus!AW45</f>
        <v>8279</v>
      </c>
      <c r="M45" s="32">
        <f>Lasteaed!G45</f>
        <v>104507</v>
      </c>
      <c r="N45" s="32">
        <f>Huvitegevus!U45</f>
        <v>98174</v>
      </c>
      <c r="O45" s="32">
        <f>'Abivajadusega lapsed'!E45</f>
        <v>14194</v>
      </c>
      <c r="P45" s="32">
        <f>Toimetulekutoetus!P45+Toimetulekutoetus!V45</f>
        <v>126461</v>
      </c>
      <c r="Q45" s="32">
        <f>Rahvastikutoimingud!AA45</f>
        <v>327</v>
      </c>
      <c r="R45" s="32">
        <f>'Kohalikud teed'!K45</f>
        <v>333868</v>
      </c>
      <c r="S45" s="32"/>
      <c r="T45" s="33">
        <f t="shared" si="1"/>
        <v>4893655</v>
      </c>
      <c r="U45" s="32">
        <v>50175</v>
      </c>
      <c r="V45" s="32">
        <f>Toimetulekutoetus!V45</f>
        <v>20000</v>
      </c>
    </row>
    <row r="46" spans="1:22" x14ac:dyDescent="0.2">
      <c r="A46" s="27" t="s">
        <v>35</v>
      </c>
      <c r="B46" s="28" t="s">
        <v>113</v>
      </c>
      <c r="C46" s="32">
        <f>Tasandusfond!BC46</f>
        <v>938313</v>
      </c>
      <c r="D46" s="32">
        <f t="shared" si="2"/>
        <v>1716822</v>
      </c>
      <c r="E46" s="32">
        <f>Üldharidus!AJ46</f>
        <v>1394514</v>
      </c>
      <c r="F46" s="32">
        <f>Üldharidus!AQ46</f>
        <v>81175</v>
      </c>
      <c r="G46" s="32">
        <f>Üldharidus!AR46</f>
        <v>57447</v>
      </c>
      <c r="H46" s="32">
        <f>Üldharidus!AS46</f>
        <v>6101</v>
      </c>
      <c r="I46" s="32">
        <f>Üldharidus!AT46</f>
        <v>20634</v>
      </c>
      <c r="J46" s="32">
        <f>Üldharidus!AU46</f>
        <v>63350</v>
      </c>
      <c r="K46" s="32">
        <f>Üldharidus!AV46</f>
        <v>88128</v>
      </c>
      <c r="L46" s="32">
        <f>Üldharidus!AW46</f>
        <v>5473</v>
      </c>
      <c r="M46" s="32">
        <f>Lasteaed!G46</f>
        <v>52865</v>
      </c>
      <c r="N46" s="32">
        <f>Huvitegevus!U46</f>
        <v>74151</v>
      </c>
      <c r="O46" s="32">
        <f>'Abivajadusega lapsed'!E46</f>
        <v>10753</v>
      </c>
      <c r="P46" s="32">
        <f>Toimetulekutoetus!P46+Toimetulekutoetus!V46</f>
        <v>45096</v>
      </c>
      <c r="Q46" s="32">
        <f>Rahvastikutoimingud!AA46</f>
        <v>336</v>
      </c>
      <c r="R46" s="32">
        <f>'Kohalikud teed'!K46</f>
        <v>187482</v>
      </c>
      <c r="S46" s="32"/>
      <c r="T46" s="33">
        <f t="shared" si="1"/>
        <v>3025818</v>
      </c>
      <c r="U46" s="32">
        <v>32821</v>
      </c>
      <c r="V46" s="32">
        <f>Toimetulekutoetus!V46</f>
        <v>1000</v>
      </c>
    </row>
    <row r="47" spans="1:22" x14ac:dyDescent="0.2">
      <c r="A47" s="27" t="s">
        <v>35</v>
      </c>
      <c r="B47" s="28" t="s">
        <v>112</v>
      </c>
      <c r="C47" s="32">
        <f>Tasandusfond!BC47</f>
        <v>2834378</v>
      </c>
      <c r="D47" s="32">
        <f t="shared" si="2"/>
        <v>5015129</v>
      </c>
      <c r="E47" s="32">
        <f>Üldharidus!AJ47</f>
        <v>4137435</v>
      </c>
      <c r="F47" s="32">
        <f>Üldharidus!AQ47</f>
        <v>0</v>
      </c>
      <c r="G47" s="32">
        <f>Üldharidus!AR47</f>
        <v>200981</v>
      </c>
      <c r="H47" s="32">
        <f>Üldharidus!AS47</f>
        <v>25826</v>
      </c>
      <c r="I47" s="32">
        <f>Üldharidus!AT47</f>
        <v>66291</v>
      </c>
      <c r="J47" s="32">
        <f>Üldharidus!AU47</f>
        <v>203350</v>
      </c>
      <c r="K47" s="32">
        <f>Üldharidus!AV47</f>
        <v>365976</v>
      </c>
      <c r="L47" s="32">
        <f>Üldharidus!AW47</f>
        <v>15270</v>
      </c>
      <c r="M47" s="32">
        <f>Lasteaed!G47</f>
        <v>215245</v>
      </c>
      <c r="N47" s="32">
        <f>Huvitegevus!U47</f>
        <v>206539</v>
      </c>
      <c r="O47" s="32">
        <f>'Abivajadusega lapsed'!E47</f>
        <v>33980</v>
      </c>
      <c r="P47" s="32">
        <f>Toimetulekutoetus!P47+Toimetulekutoetus!V47</f>
        <v>428091</v>
      </c>
      <c r="Q47" s="32">
        <f>Rahvastikutoimingud!AA47</f>
        <v>9622</v>
      </c>
      <c r="R47" s="32">
        <f>'Kohalikud teed'!K47</f>
        <v>479666</v>
      </c>
      <c r="S47" s="32"/>
      <c r="T47" s="33">
        <f t="shared" si="1"/>
        <v>9222650</v>
      </c>
      <c r="U47" s="32">
        <v>92022</v>
      </c>
      <c r="V47" s="32">
        <f>Toimetulekutoetus!V47</f>
        <v>76000</v>
      </c>
    </row>
    <row r="48" spans="1:22" x14ac:dyDescent="0.2">
      <c r="A48" s="27" t="s">
        <v>35</v>
      </c>
      <c r="B48" s="28" t="s">
        <v>111</v>
      </c>
      <c r="C48" s="32">
        <f>Tasandusfond!BC48</f>
        <v>1496689</v>
      </c>
      <c r="D48" s="32">
        <f t="shared" si="2"/>
        <v>2106624</v>
      </c>
      <c r="E48" s="32">
        <f>Üldharidus!AJ48</f>
        <v>1571814</v>
      </c>
      <c r="F48" s="32">
        <f>Üldharidus!AQ48</f>
        <v>220114</v>
      </c>
      <c r="G48" s="32">
        <f>Üldharidus!AR48</f>
        <v>77137</v>
      </c>
      <c r="H48" s="32">
        <f>Üldharidus!AS48</f>
        <v>9145</v>
      </c>
      <c r="I48" s="32">
        <f>Üldharidus!AT48</f>
        <v>29241</v>
      </c>
      <c r="J48" s="32">
        <f>Üldharidus!AU48</f>
        <v>89075</v>
      </c>
      <c r="K48" s="32">
        <f>Üldharidus!AV48</f>
        <v>104040</v>
      </c>
      <c r="L48" s="32">
        <f>Üldharidus!AW48</f>
        <v>6058</v>
      </c>
      <c r="M48" s="32">
        <f>Lasteaed!G48</f>
        <v>55423</v>
      </c>
      <c r="N48" s="32">
        <f>Huvitegevus!U48</f>
        <v>84911</v>
      </c>
      <c r="O48" s="32">
        <f>'Abivajadusega lapsed'!E48</f>
        <v>18925</v>
      </c>
      <c r="P48" s="32">
        <f>Toimetulekutoetus!P48+Toimetulekutoetus!V48</f>
        <v>67099</v>
      </c>
      <c r="Q48" s="32">
        <f>Rahvastikutoimingud!AA48</f>
        <v>230</v>
      </c>
      <c r="R48" s="32">
        <f>'Kohalikud teed'!K48</f>
        <v>241294</v>
      </c>
      <c r="S48" s="32"/>
      <c r="T48" s="33">
        <f t="shared" si="1"/>
        <v>4071195</v>
      </c>
      <c r="U48" s="32">
        <v>39855</v>
      </c>
      <c r="V48" s="32">
        <f>Toimetulekutoetus!V48</f>
        <v>0</v>
      </c>
    </row>
    <row r="49" spans="1:22" x14ac:dyDescent="0.2">
      <c r="A49" s="27" t="s">
        <v>28</v>
      </c>
      <c r="B49" s="28" t="s">
        <v>110</v>
      </c>
      <c r="C49" s="32">
        <f>Tasandusfond!BC49</f>
        <v>1144282</v>
      </c>
      <c r="D49" s="32">
        <f t="shared" si="2"/>
        <v>1947702</v>
      </c>
      <c r="E49" s="32">
        <f>Üldharidus!AJ49</f>
        <v>1636413</v>
      </c>
      <c r="F49" s="32">
        <f>Üldharidus!AQ49</f>
        <v>94268</v>
      </c>
      <c r="G49" s="32">
        <f>Üldharidus!AR49</f>
        <v>62599</v>
      </c>
      <c r="H49" s="32">
        <f>Üldharidus!AS49</f>
        <v>6786</v>
      </c>
      <c r="I49" s="32">
        <f>Üldharidus!AT49</f>
        <v>27417</v>
      </c>
      <c r="J49" s="32">
        <f>Üldharidus!AU49</f>
        <v>84175</v>
      </c>
      <c r="K49" s="32">
        <f>Üldharidus!AV49</f>
        <v>29376</v>
      </c>
      <c r="L49" s="32">
        <f>Üldharidus!AW49</f>
        <v>6668</v>
      </c>
      <c r="M49" s="32">
        <f>Lasteaed!G49</f>
        <v>49264</v>
      </c>
      <c r="N49" s="32">
        <f>Huvitegevus!U49</f>
        <v>76855</v>
      </c>
      <c r="O49" s="32">
        <f>'Abivajadusega lapsed'!E49</f>
        <v>9893</v>
      </c>
      <c r="P49" s="32">
        <f>Toimetulekutoetus!P49+Toimetulekutoetus!V49</f>
        <v>78072</v>
      </c>
      <c r="Q49" s="32">
        <f>Rahvastikutoimingud!AA49</f>
        <v>160</v>
      </c>
      <c r="R49" s="32">
        <f>'Kohalikud teed'!K49</f>
        <v>206341</v>
      </c>
      <c r="S49" s="32"/>
      <c r="T49" s="33">
        <f t="shared" si="1"/>
        <v>3512569</v>
      </c>
      <c r="U49" s="32">
        <v>38492</v>
      </c>
      <c r="V49" s="32">
        <f>Toimetulekutoetus!V49</f>
        <v>5000</v>
      </c>
    </row>
    <row r="50" spans="1:22" x14ac:dyDescent="0.2">
      <c r="A50" s="27" t="s">
        <v>28</v>
      </c>
      <c r="B50" s="28" t="s">
        <v>109</v>
      </c>
      <c r="C50" s="32">
        <f>Tasandusfond!BC50</f>
        <v>224221</v>
      </c>
      <c r="D50" s="32">
        <f t="shared" si="2"/>
        <v>247803</v>
      </c>
      <c r="E50" s="32">
        <f>Üldharidus!AJ50</f>
        <v>227929</v>
      </c>
      <c r="F50" s="32">
        <f>Üldharidus!AQ50</f>
        <v>0</v>
      </c>
      <c r="G50" s="32">
        <f>Üldharidus!AR50</f>
        <v>7063</v>
      </c>
      <c r="H50" s="32">
        <f>Üldharidus!AS50</f>
        <v>1309</v>
      </c>
      <c r="I50" s="32">
        <f>Üldharidus!AT50</f>
        <v>2052</v>
      </c>
      <c r="J50" s="32">
        <f>Üldharidus!AU50</f>
        <v>6300</v>
      </c>
      <c r="K50" s="32">
        <f>Üldharidus!AV50</f>
        <v>2448</v>
      </c>
      <c r="L50" s="32">
        <f>Üldharidus!AW50</f>
        <v>702</v>
      </c>
      <c r="M50" s="32">
        <f>Lasteaed!G50</f>
        <v>4368</v>
      </c>
      <c r="N50" s="32">
        <f>Huvitegevus!U50</f>
        <v>7672</v>
      </c>
      <c r="O50" s="32">
        <f>'Abivajadusega lapsed'!E50</f>
        <v>0</v>
      </c>
      <c r="P50" s="32">
        <f>Toimetulekutoetus!P50+Toimetulekutoetus!V50</f>
        <v>1894</v>
      </c>
      <c r="Q50" s="32">
        <f>Rahvastikutoimingud!AA50</f>
        <v>28</v>
      </c>
      <c r="R50" s="32">
        <f>'Kohalikud teed'!K50</f>
        <v>18212</v>
      </c>
      <c r="S50" s="32">
        <f>'Üleantud teed'!H6</f>
        <v>2516</v>
      </c>
      <c r="T50" s="33">
        <f t="shared" si="1"/>
        <v>506714</v>
      </c>
      <c r="U50" s="32">
        <v>5005</v>
      </c>
      <c r="V50" s="32">
        <f>Toimetulekutoetus!V50</f>
        <v>0</v>
      </c>
    </row>
    <row r="51" spans="1:22" x14ac:dyDescent="0.2">
      <c r="A51" s="27" t="s">
        <v>28</v>
      </c>
      <c r="B51" s="28" t="s">
        <v>221</v>
      </c>
      <c r="C51" s="32">
        <f>Tasandusfond!BC51</f>
        <v>1085336</v>
      </c>
      <c r="D51" s="32">
        <f t="shared" si="2"/>
        <v>2052339</v>
      </c>
      <c r="E51" s="32">
        <f>Üldharidus!AJ51</f>
        <v>1612215</v>
      </c>
      <c r="F51" s="32">
        <f>Üldharidus!AQ51</f>
        <v>190907</v>
      </c>
      <c r="G51" s="32">
        <f>Üldharidus!AR51</f>
        <v>79963</v>
      </c>
      <c r="H51" s="32">
        <f>Üldharidus!AS51</f>
        <v>9571</v>
      </c>
      <c r="I51" s="32">
        <f>Üldharidus!AT51</f>
        <v>25604</v>
      </c>
      <c r="J51" s="32">
        <f>Üldharidus!AU51</f>
        <v>76475</v>
      </c>
      <c r="K51" s="32">
        <f>Üldharidus!AV51</f>
        <v>51041</v>
      </c>
      <c r="L51" s="32">
        <f>Üldharidus!AW51</f>
        <v>6563</v>
      </c>
      <c r="M51" s="32">
        <f>Lasteaed!G51</f>
        <v>89357</v>
      </c>
      <c r="N51" s="32">
        <f>Huvitegevus!U51</f>
        <v>79273</v>
      </c>
      <c r="O51" s="32">
        <f>'Abivajadusega lapsed'!E51</f>
        <v>8172</v>
      </c>
      <c r="P51" s="32">
        <f>Toimetulekutoetus!P51+Toimetulekutoetus!V51</f>
        <v>243018</v>
      </c>
      <c r="Q51" s="32">
        <f>Rahvastikutoimingud!AA51</f>
        <v>196</v>
      </c>
      <c r="R51" s="32">
        <f>'Kohalikud teed'!K51</f>
        <v>423534</v>
      </c>
      <c r="S51" s="32"/>
      <c r="T51" s="33">
        <f t="shared" si="1"/>
        <v>3981225</v>
      </c>
      <c r="U51" s="32">
        <v>40104</v>
      </c>
      <c r="V51" s="32">
        <f>Toimetulekutoetus!V51</f>
        <v>64000</v>
      </c>
    </row>
    <row r="52" spans="1:22" x14ac:dyDescent="0.2">
      <c r="A52" s="27" t="s">
        <v>28</v>
      </c>
      <c r="B52" s="28" t="s">
        <v>222</v>
      </c>
      <c r="C52" s="32">
        <f>Tasandusfond!BC52</f>
        <v>1883819</v>
      </c>
      <c r="D52" s="32">
        <f t="shared" si="2"/>
        <v>3259912</v>
      </c>
      <c r="E52" s="32">
        <f>Üldharidus!AJ52</f>
        <v>2664929</v>
      </c>
      <c r="F52" s="32">
        <f>Üldharidus!AQ52</f>
        <v>151051</v>
      </c>
      <c r="G52" s="32">
        <f>Üldharidus!AR52</f>
        <v>109776</v>
      </c>
      <c r="H52" s="32">
        <f>Üldharidus!AS52</f>
        <v>13877</v>
      </c>
      <c r="I52" s="32">
        <f>Üldharidus!AT52</f>
        <v>43149</v>
      </c>
      <c r="J52" s="32">
        <f>Üldharidus!AU52</f>
        <v>130725</v>
      </c>
      <c r="K52" s="32">
        <f>Üldharidus!AV52</f>
        <v>135864</v>
      </c>
      <c r="L52" s="32">
        <f>Üldharidus!AW52</f>
        <v>10541</v>
      </c>
      <c r="M52" s="32">
        <f>Lasteaed!G52</f>
        <v>153033</v>
      </c>
      <c r="N52" s="32">
        <f>Huvitegevus!U52</f>
        <v>101766</v>
      </c>
      <c r="O52" s="32">
        <f>'Abivajadusega lapsed'!E52</f>
        <v>13334</v>
      </c>
      <c r="P52" s="32">
        <f>Toimetulekutoetus!P52+Toimetulekutoetus!V52</f>
        <v>129127</v>
      </c>
      <c r="Q52" s="32">
        <f>Rahvastikutoimingud!AA52</f>
        <v>471</v>
      </c>
      <c r="R52" s="32">
        <f>'Kohalikud teed'!K52</f>
        <v>317060</v>
      </c>
      <c r="S52" s="32"/>
      <c r="T52" s="33">
        <f t="shared" si="1"/>
        <v>5858522</v>
      </c>
      <c r="U52" s="32">
        <v>62630</v>
      </c>
      <c r="V52" s="32">
        <f>Toimetulekutoetus!V52</f>
        <v>20000</v>
      </c>
    </row>
    <row r="53" spans="1:22" x14ac:dyDescent="0.2">
      <c r="A53" s="27" t="s">
        <v>28</v>
      </c>
      <c r="B53" s="28" t="s">
        <v>30</v>
      </c>
      <c r="C53" s="32">
        <f>Tasandusfond!BC53</f>
        <v>7150067</v>
      </c>
      <c r="D53" s="32">
        <f t="shared" si="2"/>
        <v>20742606</v>
      </c>
      <c r="E53" s="32">
        <f>Üldharidus!AJ53</f>
        <v>16122838</v>
      </c>
      <c r="F53" s="32">
        <f>Üldharidus!AQ53</f>
        <v>1031713</v>
      </c>
      <c r="G53" s="32">
        <f>Üldharidus!AR53</f>
        <v>604198</v>
      </c>
      <c r="H53" s="32">
        <f>Üldharidus!AS53</f>
        <v>84390</v>
      </c>
      <c r="I53" s="32">
        <f>Üldharidus!AT53</f>
        <v>332025</v>
      </c>
      <c r="J53" s="32">
        <f>Üldharidus!AU53</f>
        <v>1015175</v>
      </c>
      <c r="K53" s="32">
        <f>Üldharidus!AV53</f>
        <v>1494504</v>
      </c>
      <c r="L53" s="32">
        <f>Üldharidus!AW53</f>
        <v>57763</v>
      </c>
      <c r="M53" s="32">
        <f>Lasteaed!G53</f>
        <v>812603</v>
      </c>
      <c r="N53" s="32">
        <f>Huvitegevus!U53</f>
        <v>398127</v>
      </c>
      <c r="O53" s="32">
        <f>'Abivajadusega lapsed'!E53</f>
        <v>113983</v>
      </c>
      <c r="P53" s="32">
        <f>Toimetulekutoetus!P53+Toimetulekutoetus!V53</f>
        <v>1720406</v>
      </c>
      <c r="Q53" s="32">
        <f>Rahvastikutoimingud!AA53</f>
        <v>51849</v>
      </c>
      <c r="R53" s="32">
        <f>'Kohalikud teed'!K53</f>
        <v>1124200</v>
      </c>
      <c r="S53" s="32"/>
      <c r="T53" s="33">
        <f t="shared" si="1"/>
        <v>32113841</v>
      </c>
      <c r="U53" s="32">
        <v>381538</v>
      </c>
      <c r="V53" s="32">
        <f>Toimetulekutoetus!V53</f>
        <v>49000</v>
      </c>
    </row>
    <row r="54" spans="1:22" x14ac:dyDescent="0.2">
      <c r="A54" s="27" t="s">
        <v>28</v>
      </c>
      <c r="B54" s="28" t="s">
        <v>108</v>
      </c>
      <c r="C54" s="32">
        <f>Tasandusfond!BC54</f>
        <v>790644</v>
      </c>
      <c r="D54" s="32">
        <f t="shared" si="2"/>
        <v>1707980</v>
      </c>
      <c r="E54" s="32">
        <f>Üldharidus!AJ54</f>
        <v>1335905</v>
      </c>
      <c r="F54" s="32">
        <f>Üldharidus!AQ54</f>
        <v>153901</v>
      </c>
      <c r="G54" s="32">
        <f>Üldharidus!AR54</f>
        <v>58450</v>
      </c>
      <c r="H54" s="32">
        <f>Üldharidus!AS54</f>
        <v>7428</v>
      </c>
      <c r="I54" s="32">
        <f>Üldharidus!AT54</f>
        <v>24168</v>
      </c>
      <c r="J54" s="32">
        <f>Üldharidus!AU54</f>
        <v>73850</v>
      </c>
      <c r="K54" s="32">
        <f>Üldharidus!AV54</f>
        <v>48960</v>
      </c>
      <c r="L54" s="32">
        <f>Üldharidus!AW54</f>
        <v>5318</v>
      </c>
      <c r="M54" s="32">
        <f>Lasteaed!G54</f>
        <v>52841</v>
      </c>
      <c r="N54" s="32">
        <f>Huvitegevus!U54</f>
        <v>77928</v>
      </c>
      <c r="O54" s="32">
        <f>'Abivajadusega lapsed'!E54</f>
        <v>3441</v>
      </c>
      <c r="P54" s="32">
        <f>Toimetulekutoetus!P54+Toimetulekutoetus!V54</f>
        <v>278503</v>
      </c>
      <c r="Q54" s="32">
        <f>Rahvastikutoimingud!AA54</f>
        <v>89</v>
      </c>
      <c r="R54" s="32">
        <f>'Kohalikud teed'!K54</f>
        <v>237420</v>
      </c>
      <c r="S54" s="32"/>
      <c r="T54" s="33">
        <f t="shared" si="1"/>
        <v>3148846</v>
      </c>
      <c r="U54" s="32">
        <v>33135</v>
      </c>
      <c r="V54" s="32">
        <f>Toimetulekutoetus!V54</f>
        <v>4000</v>
      </c>
    </row>
    <row r="55" spans="1:22" x14ac:dyDescent="0.2">
      <c r="A55" s="27" t="s">
        <v>28</v>
      </c>
      <c r="B55" s="28" t="s">
        <v>107</v>
      </c>
      <c r="C55" s="32">
        <f>Tasandusfond!BC55</f>
        <v>3118417</v>
      </c>
      <c r="D55" s="32">
        <f t="shared" si="2"/>
        <v>4677297</v>
      </c>
      <c r="E55" s="32">
        <f>Üldharidus!AJ55</f>
        <v>3910620</v>
      </c>
      <c r="F55" s="32">
        <f>Üldharidus!AQ55</f>
        <v>187176</v>
      </c>
      <c r="G55" s="32">
        <f>Üldharidus!AR55</f>
        <v>101652</v>
      </c>
      <c r="H55" s="32">
        <f>Üldharidus!AS55</f>
        <v>12797</v>
      </c>
      <c r="I55" s="32">
        <f>Üldharidus!AT55</f>
        <v>60648</v>
      </c>
      <c r="J55" s="32">
        <f>Üldharidus!AU55</f>
        <v>185850</v>
      </c>
      <c r="K55" s="32">
        <f>Üldharidus!AV55</f>
        <v>203184</v>
      </c>
      <c r="L55" s="32">
        <f>Üldharidus!AW55</f>
        <v>15370</v>
      </c>
      <c r="M55" s="32">
        <f>Lasteaed!G55</f>
        <v>199705</v>
      </c>
      <c r="N55" s="32">
        <f>Huvitegevus!U55</f>
        <v>131316</v>
      </c>
      <c r="O55" s="32">
        <f>'Abivajadusega lapsed'!E55</f>
        <v>28388</v>
      </c>
      <c r="P55" s="32">
        <f>Toimetulekutoetus!P55+Toimetulekutoetus!V55</f>
        <v>175349</v>
      </c>
      <c r="Q55" s="32">
        <f>Rahvastikutoimingud!AA55</f>
        <v>674</v>
      </c>
      <c r="R55" s="32">
        <f>'Kohalikud teed'!K55</f>
        <v>408729</v>
      </c>
      <c r="S55" s="32">
        <f>'Üleantud teed'!H8</f>
        <v>10532</v>
      </c>
      <c r="T55" s="33">
        <f t="shared" si="1"/>
        <v>8750407</v>
      </c>
      <c r="U55" s="32">
        <v>91140</v>
      </c>
      <c r="V55" s="32">
        <f>Toimetulekutoetus!V55</f>
        <v>20000</v>
      </c>
    </row>
    <row r="56" spans="1:22" x14ac:dyDescent="0.2">
      <c r="A56" s="27" t="s">
        <v>24</v>
      </c>
      <c r="B56" s="28" t="s">
        <v>106</v>
      </c>
      <c r="C56" s="32">
        <f>Tasandusfond!BC56</f>
        <v>1236496</v>
      </c>
      <c r="D56" s="32">
        <f t="shared" si="2"/>
        <v>2333553</v>
      </c>
      <c r="E56" s="32">
        <f>Üldharidus!AJ56</f>
        <v>1966482</v>
      </c>
      <c r="F56" s="32">
        <f>Üldharidus!AQ56</f>
        <v>0</v>
      </c>
      <c r="G56" s="32">
        <f>Üldharidus!AR56</f>
        <v>79313</v>
      </c>
      <c r="H56" s="32">
        <f>Üldharidus!AS56</f>
        <v>8425</v>
      </c>
      <c r="I56" s="32">
        <f>Üldharidus!AT56</f>
        <v>27702</v>
      </c>
      <c r="J56" s="32">
        <f>Üldharidus!AU56</f>
        <v>85050</v>
      </c>
      <c r="K56" s="32">
        <f>Üldharidus!AV56</f>
        <v>159120</v>
      </c>
      <c r="L56" s="32">
        <f>Üldharidus!AW56</f>
        <v>7461</v>
      </c>
      <c r="M56" s="32">
        <f>Lasteaed!G56</f>
        <v>99492</v>
      </c>
      <c r="N56" s="32">
        <f>Huvitegevus!U56</f>
        <v>114650</v>
      </c>
      <c r="O56" s="32">
        <f>'Abivajadusega lapsed'!E56</f>
        <v>10323</v>
      </c>
      <c r="P56" s="32">
        <f>Toimetulekutoetus!P56+Toimetulekutoetus!V56</f>
        <v>488797</v>
      </c>
      <c r="Q56" s="32">
        <f>Rahvastikutoimingud!AA56</f>
        <v>242</v>
      </c>
      <c r="R56" s="32">
        <f>'Kohalikud teed'!K56</f>
        <v>249802</v>
      </c>
      <c r="S56" s="32"/>
      <c r="T56" s="33">
        <f t="shared" si="1"/>
        <v>4533355</v>
      </c>
      <c r="U56" s="32">
        <v>43737</v>
      </c>
      <c r="V56" s="32">
        <f>Toimetulekutoetus!V56</f>
        <v>64000</v>
      </c>
    </row>
    <row r="57" spans="1:22" x14ac:dyDescent="0.2">
      <c r="A57" s="27" t="s">
        <v>24</v>
      </c>
      <c r="B57" s="28" t="s">
        <v>105</v>
      </c>
      <c r="C57" s="32">
        <f>Tasandusfond!BC57</f>
        <v>715984</v>
      </c>
      <c r="D57" s="32">
        <f t="shared" si="2"/>
        <v>2839768</v>
      </c>
      <c r="E57" s="32">
        <f>Üldharidus!AJ57</f>
        <v>2054588</v>
      </c>
      <c r="F57" s="32">
        <f>Üldharidus!AQ57</f>
        <v>352629</v>
      </c>
      <c r="G57" s="32">
        <f>Üldharidus!AR57</f>
        <v>81328</v>
      </c>
      <c r="H57" s="32">
        <f>Üldharidus!AS57</f>
        <v>10608</v>
      </c>
      <c r="I57" s="32">
        <f>Üldharidus!AT57</f>
        <v>50388</v>
      </c>
      <c r="J57" s="32">
        <f>Üldharidus!AU57</f>
        <v>154350</v>
      </c>
      <c r="K57" s="32">
        <f>Üldharidus!AV57</f>
        <v>128153</v>
      </c>
      <c r="L57" s="32">
        <f>Üldharidus!AW57</f>
        <v>7724</v>
      </c>
      <c r="M57" s="32">
        <f>Lasteaed!G57</f>
        <v>124074</v>
      </c>
      <c r="N57" s="32">
        <f>Huvitegevus!U57</f>
        <v>67226</v>
      </c>
      <c r="O57" s="32">
        <f>'Abivajadusega lapsed'!E57</f>
        <v>15054</v>
      </c>
      <c r="P57" s="32">
        <f>Toimetulekutoetus!P57+Toimetulekutoetus!V57</f>
        <v>100887</v>
      </c>
      <c r="Q57" s="32">
        <f>Rahvastikutoimingud!AA57</f>
        <v>410</v>
      </c>
      <c r="R57" s="32">
        <f>'Kohalikud teed'!K57</f>
        <v>406599</v>
      </c>
      <c r="S57" s="32"/>
      <c r="T57" s="33">
        <f t="shared" si="1"/>
        <v>4270002</v>
      </c>
      <c r="U57" s="32">
        <v>53539</v>
      </c>
      <c r="V57" s="32">
        <f>Toimetulekutoetus!V57</f>
        <v>0</v>
      </c>
    </row>
    <row r="58" spans="1:22" x14ac:dyDescent="0.2">
      <c r="A58" s="27" t="s">
        <v>24</v>
      </c>
      <c r="B58" s="28" t="s">
        <v>104</v>
      </c>
      <c r="C58" s="32">
        <f>Tasandusfond!BC58</f>
        <v>1486664</v>
      </c>
      <c r="D58" s="32">
        <f t="shared" si="2"/>
        <v>2888913</v>
      </c>
      <c r="E58" s="32">
        <f>Üldharidus!AJ58</f>
        <v>2236615</v>
      </c>
      <c r="F58" s="32">
        <f>Üldharidus!AQ58</f>
        <v>239271</v>
      </c>
      <c r="G58" s="32">
        <f>Üldharidus!AR58</f>
        <v>85821</v>
      </c>
      <c r="H58" s="32">
        <f>Üldharidus!AS58</f>
        <v>11810</v>
      </c>
      <c r="I58" s="32">
        <f>Üldharidus!AT58</f>
        <v>43548</v>
      </c>
      <c r="J58" s="32">
        <f>Üldharidus!AU58</f>
        <v>133525</v>
      </c>
      <c r="K58" s="32">
        <f>Üldharidus!AV58</f>
        <v>129744</v>
      </c>
      <c r="L58" s="32">
        <f>Üldharidus!AW58</f>
        <v>8579</v>
      </c>
      <c r="M58" s="32">
        <f>Lasteaed!G58</f>
        <v>120661</v>
      </c>
      <c r="N58" s="32">
        <f>Huvitegevus!U58</f>
        <v>114628</v>
      </c>
      <c r="O58" s="32">
        <f>'Abivajadusega lapsed'!E58</f>
        <v>10753</v>
      </c>
      <c r="P58" s="32">
        <f>Toimetulekutoetus!P58+Toimetulekutoetus!V58</f>
        <v>293872</v>
      </c>
      <c r="Q58" s="32">
        <f>Rahvastikutoimingud!AA58</f>
        <v>309</v>
      </c>
      <c r="R58" s="32">
        <f>'Kohalikud teed'!K58</f>
        <v>478717</v>
      </c>
      <c r="S58" s="32"/>
      <c r="T58" s="33">
        <f t="shared" si="1"/>
        <v>5394517</v>
      </c>
      <c r="U58" s="32">
        <v>55067</v>
      </c>
      <c r="V58" s="32">
        <f>Toimetulekutoetus!V58</f>
        <v>35000</v>
      </c>
    </row>
    <row r="59" spans="1:22" x14ac:dyDescent="0.2">
      <c r="A59" s="27" t="s">
        <v>24</v>
      </c>
      <c r="B59" s="28" t="s">
        <v>103</v>
      </c>
      <c r="C59" s="32">
        <f>Tasandusfond!BC59</f>
        <v>1243020</v>
      </c>
      <c r="D59" s="32">
        <f t="shared" si="2"/>
        <v>5502991</v>
      </c>
      <c r="E59" s="32">
        <f>Üldharidus!AJ59</f>
        <v>4644531</v>
      </c>
      <c r="F59" s="32">
        <f>Üldharidus!AQ59</f>
        <v>0</v>
      </c>
      <c r="G59" s="32">
        <f>Üldharidus!AR59</f>
        <v>192391</v>
      </c>
      <c r="H59" s="32">
        <f>Üldharidus!AS59</f>
        <v>24357</v>
      </c>
      <c r="I59" s="32">
        <f>Üldharidus!AT59</f>
        <v>80199</v>
      </c>
      <c r="J59" s="32">
        <f>Üldharidus!AU59</f>
        <v>245175</v>
      </c>
      <c r="K59" s="32">
        <f>Üldharidus!AV59</f>
        <v>298656</v>
      </c>
      <c r="L59" s="32">
        <f>Üldharidus!AW59</f>
        <v>17682</v>
      </c>
      <c r="M59" s="32">
        <f>Lasteaed!G59</f>
        <v>177116</v>
      </c>
      <c r="N59" s="32">
        <f>Huvitegevus!U59</f>
        <v>173686</v>
      </c>
      <c r="O59" s="32">
        <f>'Abivajadusega lapsed'!E59</f>
        <v>30969</v>
      </c>
      <c r="P59" s="32">
        <f>Toimetulekutoetus!P59+Toimetulekutoetus!V59</f>
        <v>523398</v>
      </c>
      <c r="Q59" s="32">
        <f>Rahvastikutoimingud!AA59</f>
        <v>19558</v>
      </c>
      <c r="R59" s="32">
        <f>'Kohalikud teed'!K59</f>
        <v>389526</v>
      </c>
      <c r="S59" s="32"/>
      <c r="T59" s="33">
        <f t="shared" si="1"/>
        <v>8060264</v>
      </c>
      <c r="U59" s="32">
        <v>103301</v>
      </c>
      <c r="V59" s="32">
        <f>Toimetulekutoetus!V59</f>
        <v>99000</v>
      </c>
    </row>
    <row r="60" spans="1:22" x14ac:dyDescent="0.2">
      <c r="A60" s="27" t="s">
        <v>20</v>
      </c>
      <c r="B60" s="28" t="s">
        <v>102</v>
      </c>
      <c r="C60" s="32">
        <f>Tasandusfond!BC60</f>
        <v>93947</v>
      </c>
      <c r="D60" s="32">
        <f t="shared" si="2"/>
        <v>696608</v>
      </c>
      <c r="E60" s="32">
        <f>Üldharidus!AJ60</f>
        <v>619664</v>
      </c>
      <c r="F60" s="32">
        <f>Üldharidus!AQ60</f>
        <v>0</v>
      </c>
      <c r="G60" s="32">
        <f>Üldharidus!AR60</f>
        <v>20807</v>
      </c>
      <c r="H60" s="32">
        <f>Üldharidus!AS60</f>
        <v>2194</v>
      </c>
      <c r="I60" s="32">
        <f>Üldharidus!AT60</f>
        <v>7524</v>
      </c>
      <c r="J60" s="32">
        <f>Üldharidus!AU60</f>
        <v>23100</v>
      </c>
      <c r="K60" s="32">
        <f>Üldharidus!AV60</f>
        <v>20808</v>
      </c>
      <c r="L60" s="32">
        <f>Üldharidus!AW60</f>
        <v>2511</v>
      </c>
      <c r="M60" s="32">
        <f>Lasteaed!G60</f>
        <v>16398</v>
      </c>
      <c r="N60" s="32">
        <f>Huvitegevus!U60</f>
        <v>17904</v>
      </c>
      <c r="O60" s="32">
        <f>'Abivajadusega lapsed'!E60</f>
        <v>860</v>
      </c>
      <c r="P60" s="32">
        <f>Toimetulekutoetus!P60+Toimetulekutoetus!V60</f>
        <v>13007</v>
      </c>
      <c r="Q60" s="32">
        <f>Rahvastikutoimingud!AA60</f>
        <v>87</v>
      </c>
      <c r="R60" s="32">
        <f>'Kohalikud teed'!K60</f>
        <v>85838</v>
      </c>
      <c r="S60" s="32"/>
      <c r="T60" s="33">
        <f t="shared" si="1"/>
        <v>924649</v>
      </c>
      <c r="U60" s="32">
        <v>13783</v>
      </c>
      <c r="V60" s="32">
        <f>Toimetulekutoetus!V60</f>
        <v>4000</v>
      </c>
    </row>
    <row r="61" spans="1:22" x14ac:dyDescent="0.2">
      <c r="A61" s="29" t="s">
        <v>20</v>
      </c>
      <c r="B61" s="28" t="s">
        <v>101</v>
      </c>
      <c r="C61" s="32">
        <f>Tasandusfond!BC61</f>
        <v>107426</v>
      </c>
      <c r="D61" s="32">
        <f t="shared" si="2"/>
        <v>162676</v>
      </c>
      <c r="E61" s="32">
        <f>Üldharidus!AJ61</f>
        <v>154290</v>
      </c>
      <c r="F61" s="32">
        <f>Üldharidus!AQ61</f>
        <v>0</v>
      </c>
      <c r="G61" s="32">
        <f>Üldharidus!AR61</f>
        <v>6209</v>
      </c>
      <c r="H61" s="32">
        <f>Üldharidus!AS61</f>
        <v>414</v>
      </c>
      <c r="I61" s="32">
        <f>Üldharidus!AT61</f>
        <v>399</v>
      </c>
      <c r="J61" s="32">
        <f>Üldharidus!AU61</f>
        <v>1225</v>
      </c>
      <c r="K61" s="32">
        <f>Üldharidus!AV61</f>
        <v>0</v>
      </c>
      <c r="L61" s="32">
        <f>Üldharidus!AW61</f>
        <v>139</v>
      </c>
      <c r="M61" s="32">
        <f>Lasteaed!G61</f>
        <v>0</v>
      </c>
      <c r="N61" s="32">
        <f>Huvitegevus!U61</f>
        <v>1125</v>
      </c>
      <c r="O61" s="32">
        <f>'Abivajadusega lapsed'!E61</f>
        <v>0</v>
      </c>
      <c r="P61" s="32">
        <f>Toimetulekutoetus!P61+Toimetulekutoetus!V61</f>
        <v>0</v>
      </c>
      <c r="Q61" s="32">
        <f>Rahvastikutoimingud!AA61</f>
        <v>4</v>
      </c>
      <c r="R61" s="32">
        <f>'Kohalikud teed'!K61</f>
        <v>2712</v>
      </c>
      <c r="S61" s="32"/>
      <c r="T61" s="33">
        <f t="shared" si="1"/>
        <v>273943</v>
      </c>
      <c r="U61" s="32">
        <v>3388</v>
      </c>
      <c r="V61" s="32">
        <f>Toimetulekutoetus!V61</f>
        <v>0</v>
      </c>
    </row>
    <row r="62" spans="1:22" x14ac:dyDescent="0.2">
      <c r="A62" s="29" t="s">
        <v>20</v>
      </c>
      <c r="B62" s="28" t="s">
        <v>223</v>
      </c>
      <c r="C62" s="32">
        <f>Tasandusfond!BC62</f>
        <v>2912370</v>
      </c>
      <c r="D62" s="32">
        <f t="shared" si="2"/>
        <v>12247671</v>
      </c>
      <c r="E62" s="32">
        <f>Üldharidus!AJ62</f>
        <v>9669622</v>
      </c>
      <c r="F62" s="32">
        <f>Üldharidus!AQ62</f>
        <v>583472</v>
      </c>
      <c r="G62" s="32">
        <f>Üldharidus!AR62</f>
        <v>373829</v>
      </c>
      <c r="H62" s="32">
        <f>Üldharidus!AS62</f>
        <v>46626</v>
      </c>
      <c r="I62" s="32">
        <f>Üldharidus!AT62</f>
        <v>180519</v>
      </c>
      <c r="J62" s="32">
        <f>Üldharidus!AU62</f>
        <v>507850</v>
      </c>
      <c r="K62" s="32">
        <f>Üldharidus!AV62</f>
        <v>850435</v>
      </c>
      <c r="L62" s="32">
        <f>Üldharidus!AW62</f>
        <v>35318</v>
      </c>
      <c r="M62" s="32">
        <f>Lasteaed!G62</f>
        <v>526454</v>
      </c>
      <c r="N62" s="32">
        <f>Huvitegevus!U62</f>
        <v>337415</v>
      </c>
      <c r="O62" s="32">
        <f>'Abivajadusega lapsed'!E62</f>
        <v>56776</v>
      </c>
      <c r="P62" s="32">
        <f>Toimetulekutoetus!P62+Toimetulekutoetus!V62</f>
        <v>585852</v>
      </c>
      <c r="Q62" s="32">
        <f>Rahvastikutoimingud!AA62</f>
        <v>19885</v>
      </c>
      <c r="R62" s="32">
        <f>'Kohalikud teed'!K62</f>
        <v>1246823</v>
      </c>
      <c r="S62" s="32"/>
      <c r="T62" s="33">
        <f t="shared" si="1"/>
        <v>17933246</v>
      </c>
      <c r="U62" s="32">
        <v>228042</v>
      </c>
      <c r="V62" s="32">
        <f>Toimetulekutoetus!V62</f>
        <v>50000</v>
      </c>
    </row>
    <row r="63" spans="1:22" x14ac:dyDescent="0.2">
      <c r="A63" s="27" t="s">
        <v>13</v>
      </c>
      <c r="B63" s="28" t="s">
        <v>224</v>
      </c>
      <c r="C63" s="32">
        <f>Tasandusfond!BC63</f>
        <v>3426408</v>
      </c>
      <c r="D63" s="32">
        <f t="shared" si="2"/>
        <v>6491336</v>
      </c>
      <c r="E63" s="32">
        <f>Üldharidus!AJ63</f>
        <v>5005541</v>
      </c>
      <c r="F63" s="32">
        <f>Üldharidus!AQ63</f>
        <v>528697</v>
      </c>
      <c r="G63" s="32">
        <f>Üldharidus!AR63</f>
        <v>175607</v>
      </c>
      <c r="H63" s="32">
        <f>Üldharidus!AS63</f>
        <v>21705</v>
      </c>
      <c r="I63" s="32">
        <f>Üldharidus!AT63</f>
        <v>98963</v>
      </c>
      <c r="J63" s="32">
        <f>Üldharidus!AU63</f>
        <v>295575</v>
      </c>
      <c r="K63" s="32">
        <f>Üldharidus!AV63</f>
        <v>346392</v>
      </c>
      <c r="L63" s="32">
        <f>Üldharidus!AW63</f>
        <v>18856</v>
      </c>
      <c r="M63" s="32">
        <f>Lasteaed!G63</f>
        <v>284436</v>
      </c>
      <c r="N63" s="32">
        <f>Huvitegevus!U63</f>
        <v>174107</v>
      </c>
      <c r="O63" s="32">
        <f>'Abivajadusega lapsed'!E63</f>
        <v>45163</v>
      </c>
      <c r="P63" s="32">
        <f>Toimetulekutoetus!P63+Toimetulekutoetus!V63</f>
        <v>86365</v>
      </c>
      <c r="Q63" s="32">
        <f>Rahvastikutoimingud!AA63</f>
        <v>581</v>
      </c>
      <c r="R63" s="32">
        <f>'Kohalikud teed'!K63</f>
        <v>614299</v>
      </c>
      <c r="S63" s="32"/>
      <c r="T63" s="33">
        <f t="shared" si="1"/>
        <v>11122695</v>
      </c>
      <c r="U63" s="32">
        <v>123088</v>
      </c>
      <c r="V63" s="32">
        <f>Toimetulekutoetus!V63</f>
        <v>22000</v>
      </c>
    </row>
    <row r="64" spans="1:22" x14ac:dyDescent="0.2">
      <c r="A64" s="27" t="s">
        <v>13</v>
      </c>
      <c r="B64" s="28" t="s">
        <v>100</v>
      </c>
      <c r="C64" s="32">
        <f>Tasandusfond!BC64</f>
        <v>822918</v>
      </c>
      <c r="D64" s="32">
        <f t="shared" si="2"/>
        <v>5228594</v>
      </c>
      <c r="E64" s="32">
        <f>Üldharidus!AJ64</f>
        <v>4052423</v>
      </c>
      <c r="F64" s="32">
        <f>Üldharidus!AQ64</f>
        <v>500005</v>
      </c>
      <c r="G64" s="32">
        <f>Üldharidus!AR64</f>
        <v>147936</v>
      </c>
      <c r="H64" s="32">
        <f>Üldharidus!AS64</f>
        <v>19296</v>
      </c>
      <c r="I64" s="32">
        <f>Üldharidus!AT64</f>
        <v>91656</v>
      </c>
      <c r="J64" s="32">
        <f>Üldharidus!AU64</f>
        <v>281225</v>
      </c>
      <c r="K64" s="32">
        <f>Üldharidus!AV64</f>
        <v>119952</v>
      </c>
      <c r="L64" s="32">
        <f>Üldharidus!AW64</f>
        <v>16101</v>
      </c>
      <c r="M64" s="32">
        <f>Lasteaed!G64</f>
        <v>134632</v>
      </c>
      <c r="N64" s="32">
        <f>Huvitegevus!U64</f>
        <v>106811</v>
      </c>
      <c r="O64" s="32">
        <f>'Abivajadusega lapsed'!E64</f>
        <v>22366</v>
      </c>
      <c r="P64" s="32">
        <f>Toimetulekutoetus!P64+Toimetulekutoetus!V64</f>
        <v>114186</v>
      </c>
      <c r="Q64" s="32">
        <f>Rahvastikutoimingud!AA64</f>
        <v>823</v>
      </c>
      <c r="R64" s="32">
        <f>'Kohalikud teed'!K64</f>
        <v>391603</v>
      </c>
      <c r="S64" s="32"/>
      <c r="T64" s="33">
        <f t="shared" si="1"/>
        <v>6821933</v>
      </c>
      <c r="U64" s="32">
        <v>101252</v>
      </c>
      <c r="V64" s="32">
        <f>Toimetulekutoetus!V64</f>
        <v>0</v>
      </c>
    </row>
    <row r="65" spans="1:22" x14ac:dyDescent="0.2">
      <c r="A65" s="27" t="s">
        <v>13</v>
      </c>
      <c r="B65" s="28" t="s">
        <v>225</v>
      </c>
      <c r="C65" s="32">
        <f>Tasandusfond!BC65</f>
        <v>1839357</v>
      </c>
      <c r="D65" s="32">
        <f t="shared" si="2"/>
        <v>2491008</v>
      </c>
      <c r="E65" s="32">
        <f>Üldharidus!AJ65</f>
        <v>2144470</v>
      </c>
      <c r="F65" s="32">
        <f>Üldharidus!AQ65</f>
        <v>95344</v>
      </c>
      <c r="G65" s="32">
        <f>Üldharidus!AR65</f>
        <v>48392</v>
      </c>
      <c r="H65" s="32">
        <f>Üldharidus!AS65</f>
        <v>6312</v>
      </c>
      <c r="I65" s="32">
        <f>Üldharidus!AT65</f>
        <v>29982</v>
      </c>
      <c r="J65" s="32">
        <f>Üldharidus!AU65</f>
        <v>92050</v>
      </c>
      <c r="K65" s="32">
        <f>Üldharidus!AV65</f>
        <v>65729</v>
      </c>
      <c r="L65" s="32">
        <f>Üldharidus!AW65</f>
        <v>8729</v>
      </c>
      <c r="M65" s="32">
        <f>Lasteaed!G65</f>
        <v>76924</v>
      </c>
      <c r="N65" s="32">
        <f>Huvitegevus!U65</f>
        <v>81453</v>
      </c>
      <c r="O65" s="32">
        <f>'Abivajadusega lapsed'!E65</f>
        <v>13334</v>
      </c>
      <c r="P65" s="32">
        <f>Toimetulekutoetus!P65+Toimetulekutoetus!V65</f>
        <v>67784</v>
      </c>
      <c r="Q65" s="32">
        <f>Rahvastikutoimingud!AA65</f>
        <v>456</v>
      </c>
      <c r="R65" s="32">
        <f>'Kohalikud teed'!K65</f>
        <v>165741</v>
      </c>
      <c r="S65" s="32"/>
      <c r="T65" s="33">
        <f t="shared" si="1"/>
        <v>4736057</v>
      </c>
      <c r="U65" s="32">
        <v>49817</v>
      </c>
      <c r="V65" s="32">
        <f>Toimetulekutoetus!V65</f>
        <v>4000</v>
      </c>
    </row>
    <row r="66" spans="1:22" x14ac:dyDescent="0.2">
      <c r="A66" s="27" t="s">
        <v>13</v>
      </c>
      <c r="B66" s="28" t="s">
        <v>99</v>
      </c>
      <c r="C66" s="32">
        <f>Tasandusfond!BC66</f>
        <v>447429</v>
      </c>
      <c r="D66" s="32">
        <f t="shared" si="2"/>
        <v>1845186</v>
      </c>
      <c r="E66" s="32">
        <f>Üldharidus!AJ66</f>
        <v>1408061</v>
      </c>
      <c r="F66" s="32">
        <f>Üldharidus!AQ66</f>
        <v>211998</v>
      </c>
      <c r="G66" s="32">
        <f>Üldharidus!AR66</f>
        <v>43700</v>
      </c>
      <c r="H66" s="32">
        <f>Üldharidus!AS66</f>
        <v>5700</v>
      </c>
      <c r="I66" s="32">
        <f>Üldharidus!AT66</f>
        <v>27075</v>
      </c>
      <c r="J66" s="32">
        <f>Üldharidus!AU66</f>
        <v>83125</v>
      </c>
      <c r="K66" s="32">
        <f>Üldharidus!AV66</f>
        <v>59976</v>
      </c>
      <c r="L66" s="32">
        <f>Üldharidus!AW66</f>
        <v>5551</v>
      </c>
      <c r="M66" s="32">
        <f>Lasteaed!G66</f>
        <v>77340</v>
      </c>
      <c r="N66" s="32">
        <f>Huvitegevus!U66</f>
        <v>65307</v>
      </c>
      <c r="O66" s="32">
        <f>'Abivajadusega lapsed'!E66</f>
        <v>12043</v>
      </c>
      <c r="P66" s="32">
        <f>Toimetulekutoetus!P66+Toimetulekutoetus!V66</f>
        <v>26912</v>
      </c>
      <c r="Q66" s="32">
        <f>Rahvastikutoimingud!AA66</f>
        <v>428</v>
      </c>
      <c r="R66" s="32">
        <f>'Kohalikud teed'!K66</f>
        <v>66241</v>
      </c>
      <c r="S66" s="32"/>
      <c r="T66" s="33">
        <f t="shared" si="1"/>
        <v>2540886</v>
      </c>
      <c r="U66" s="32">
        <v>36032</v>
      </c>
      <c r="V66" s="32">
        <f>Toimetulekutoetus!V66</f>
        <v>2000</v>
      </c>
    </row>
    <row r="67" spans="1:22" x14ac:dyDescent="0.2">
      <c r="A67" s="27" t="s">
        <v>13</v>
      </c>
      <c r="B67" s="28" t="s">
        <v>98</v>
      </c>
      <c r="C67" s="32">
        <f>Tasandusfond!BC67</f>
        <v>807059</v>
      </c>
      <c r="D67" s="32">
        <f t="shared" si="2"/>
        <v>1724745</v>
      </c>
      <c r="E67" s="32">
        <f>Üldharidus!AJ67</f>
        <v>1460408</v>
      </c>
      <c r="F67" s="32">
        <f>Üldharidus!AQ67</f>
        <v>0</v>
      </c>
      <c r="G67" s="32">
        <f>Üldharidus!AR67</f>
        <v>46736</v>
      </c>
      <c r="H67" s="32">
        <f>Üldharidus!AS67</f>
        <v>6096</v>
      </c>
      <c r="I67" s="32">
        <f>Üldharidus!AT67</f>
        <v>28956</v>
      </c>
      <c r="J67" s="32">
        <f>Üldharidus!AU67</f>
        <v>88900</v>
      </c>
      <c r="K67" s="32">
        <f>Üldharidus!AV67</f>
        <v>88128</v>
      </c>
      <c r="L67" s="32">
        <f>Üldharidus!AW67</f>
        <v>5521</v>
      </c>
      <c r="M67" s="32">
        <f>Lasteaed!G67</f>
        <v>63128</v>
      </c>
      <c r="N67" s="32">
        <f>Huvitegevus!U67</f>
        <v>55725</v>
      </c>
      <c r="O67" s="32">
        <f>'Abivajadusega lapsed'!E67</f>
        <v>15054</v>
      </c>
      <c r="P67" s="32">
        <f>Toimetulekutoetus!P67+Toimetulekutoetus!V67</f>
        <v>11484</v>
      </c>
      <c r="Q67" s="32">
        <f>Rahvastikutoimingud!AA67</f>
        <v>171</v>
      </c>
      <c r="R67" s="32">
        <f>'Kohalikud teed'!K67</f>
        <v>180478</v>
      </c>
      <c r="S67" s="32"/>
      <c r="T67" s="33">
        <f t="shared" si="1"/>
        <v>2857844</v>
      </c>
      <c r="U67" s="32">
        <v>32481</v>
      </c>
      <c r="V67" s="32">
        <f>Toimetulekutoetus!V67</f>
        <v>0</v>
      </c>
    </row>
    <row r="68" spans="1:22" x14ac:dyDescent="0.2">
      <c r="A68" s="27" t="s">
        <v>13</v>
      </c>
      <c r="B68" s="28" t="s">
        <v>97</v>
      </c>
      <c r="C68" s="32">
        <f>Tasandusfond!BC68</f>
        <v>1448370</v>
      </c>
      <c r="D68" s="32">
        <f t="shared" ref="D68:D82" si="3">E68+F68+G68+H68+I68+J68+K68+L68</f>
        <v>1861411</v>
      </c>
      <c r="E68" s="32">
        <f>Üldharidus!AJ68</f>
        <v>1582934</v>
      </c>
      <c r="F68" s="32">
        <f>Üldharidus!AQ68</f>
        <v>0</v>
      </c>
      <c r="G68" s="32">
        <f>Üldharidus!AR68</f>
        <v>100120</v>
      </c>
      <c r="H68" s="32">
        <f>Üldharidus!AS68</f>
        <v>10304</v>
      </c>
      <c r="I68" s="32">
        <f>Üldharidus!AT68</f>
        <v>22002</v>
      </c>
      <c r="J68" s="32">
        <f>Üldharidus!AU68</f>
        <v>67550</v>
      </c>
      <c r="K68" s="32">
        <f>Üldharidus!AV68</f>
        <v>72216</v>
      </c>
      <c r="L68" s="32">
        <f>Üldharidus!AW68</f>
        <v>6285</v>
      </c>
      <c r="M68" s="32">
        <f>Lasteaed!G68</f>
        <v>91653</v>
      </c>
      <c r="N68" s="32">
        <f>Huvitegevus!U68</f>
        <v>77574</v>
      </c>
      <c r="O68" s="32">
        <f>'Abivajadusega lapsed'!E68</f>
        <v>4301</v>
      </c>
      <c r="P68" s="32">
        <f>Toimetulekutoetus!P68+Toimetulekutoetus!V68</f>
        <v>64572</v>
      </c>
      <c r="Q68" s="32">
        <f>Rahvastikutoimingud!AA68</f>
        <v>238</v>
      </c>
      <c r="R68" s="32">
        <f>'Kohalikud teed'!K68</f>
        <v>276910</v>
      </c>
      <c r="S68" s="32"/>
      <c r="T68" s="33">
        <f t="shared" si="1"/>
        <v>3825029</v>
      </c>
      <c r="U68" s="32">
        <v>35207</v>
      </c>
      <c r="V68" s="32">
        <f>Toimetulekutoetus!V68</f>
        <v>2000</v>
      </c>
    </row>
    <row r="69" spans="1:22" x14ac:dyDescent="0.2">
      <c r="A69" s="27" t="s">
        <v>13</v>
      </c>
      <c r="B69" s="28" t="s">
        <v>96</v>
      </c>
      <c r="C69" s="32">
        <f>Tasandusfond!BC69</f>
        <v>2482088</v>
      </c>
      <c r="D69" s="32">
        <f t="shared" si="3"/>
        <v>5383744</v>
      </c>
      <c r="E69" s="32">
        <f>Üldharidus!AJ69</f>
        <v>4363634</v>
      </c>
      <c r="F69" s="32">
        <f>Üldharidus!AQ69</f>
        <v>364476</v>
      </c>
      <c r="G69" s="32">
        <f>Üldharidus!AR69</f>
        <v>133216</v>
      </c>
      <c r="H69" s="32">
        <f>Üldharidus!AS69</f>
        <v>17376</v>
      </c>
      <c r="I69" s="32">
        <f>Üldharidus!AT69</f>
        <v>82536</v>
      </c>
      <c r="J69" s="32">
        <f>Üldharidus!AU69</f>
        <v>253400</v>
      </c>
      <c r="K69" s="32">
        <f>Üldharidus!AV69</f>
        <v>151776</v>
      </c>
      <c r="L69" s="32">
        <f>Üldharidus!AW69</f>
        <v>17330</v>
      </c>
      <c r="M69" s="32">
        <f>Lasteaed!G69</f>
        <v>205752</v>
      </c>
      <c r="N69" s="32">
        <f>Huvitegevus!U69</f>
        <v>127512</v>
      </c>
      <c r="O69" s="32">
        <f>'Abivajadusega lapsed'!E69</f>
        <v>24087</v>
      </c>
      <c r="P69" s="32">
        <f>Toimetulekutoetus!P69+Toimetulekutoetus!V69</f>
        <v>118079</v>
      </c>
      <c r="Q69" s="32">
        <f>Rahvastikutoimingud!AA69</f>
        <v>886</v>
      </c>
      <c r="R69" s="32">
        <f>'Kohalikud teed'!K69</f>
        <v>455685</v>
      </c>
      <c r="S69" s="32"/>
      <c r="T69" s="33">
        <f t="shared" ref="T69:T84" si="4">SUM(M69:S69)+C69+D69</f>
        <v>8797833</v>
      </c>
      <c r="U69" s="32">
        <v>105160</v>
      </c>
      <c r="V69" s="32">
        <f>Toimetulekutoetus!V69</f>
        <v>0</v>
      </c>
    </row>
    <row r="70" spans="1:22" x14ac:dyDescent="0.2">
      <c r="A70" s="27" t="s">
        <v>13</v>
      </c>
      <c r="B70" s="28" t="s">
        <v>15</v>
      </c>
      <c r="C70" s="32">
        <f>Tasandusfond!BC70</f>
        <v>1317766</v>
      </c>
      <c r="D70" s="32">
        <f t="shared" si="3"/>
        <v>43405895</v>
      </c>
      <c r="E70" s="32">
        <f>Üldharidus!AJ70</f>
        <v>28400139</v>
      </c>
      <c r="F70" s="32">
        <f>Üldharidus!AQ70</f>
        <v>7265965</v>
      </c>
      <c r="G70" s="32">
        <f>Üldharidus!AR70</f>
        <v>1208236</v>
      </c>
      <c r="H70" s="32">
        <f>Üldharidus!AS70</f>
        <v>157596</v>
      </c>
      <c r="I70" s="32">
        <f>Üldharidus!AT70</f>
        <v>747806</v>
      </c>
      <c r="J70" s="32">
        <f>Üldharidus!AU70</f>
        <v>2180675</v>
      </c>
      <c r="K70" s="32">
        <f>Üldharidus!AV70</f>
        <v>3347885</v>
      </c>
      <c r="L70" s="32">
        <f>Üldharidus!AW70</f>
        <v>97593</v>
      </c>
      <c r="M70" s="32">
        <f>Lasteaed!G70</f>
        <v>1434036</v>
      </c>
      <c r="N70" s="32">
        <f>Huvitegevus!U70</f>
        <v>439057</v>
      </c>
      <c r="O70" s="32">
        <f>'Abivajadusega lapsed'!E70</f>
        <v>247322</v>
      </c>
      <c r="P70" s="32">
        <f>Toimetulekutoetus!P70+Toimetulekutoetus!V70</f>
        <v>3022825</v>
      </c>
      <c r="Q70" s="32">
        <f>Rahvastikutoimingud!AA70</f>
        <v>114322</v>
      </c>
      <c r="R70" s="32">
        <f>'Kohalikud teed'!K70</f>
        <v>1270944</v>
      </c>
      <c r="S70" s="32"/>
      <c r="T70" s="33">
        <f t="shared" si="4"/>
        <v>51252167</v>
      </c>
      <c r="U70" s="32">
        <v>793256</v>
      </c>
      <c r="V70" s="32">
        <f>Toimetulekutoetus!V70</f>
        <v>187000</v>
      </c>
    </row>
    <row r="71" spans="1:22" x14ac:dyDescent="0.2">
      <c r="A71" s="27" t="s">
        <v>10</v>
      </c>
      <c r="B71" s="28" t="s">
        <v>95</v>
      </c>
      <c r="C71" s="32">
        <f>Tasandusfond!BC71</f>
        <v>1238643</v>
      </c>
      <c r="D71" s="32">
        <f t="shared" si="3"/>
        <v>3044821</v>
      </c>
      <c r="E71" s="32">
        <f>Üldharidus!AJ71</f>
        <v>2406721</v>
      </c>
      <c r="F71" s="32">
        <f>Üldharidus!AQ71</f>
        <v>213307</v>
      </c>
      <c r="G71" s="32">
        <f>Üldharidus!AR71</f>
        <v>99835</v>
      </c>
      <c r="H71" s="32">
        <f>Üldharidus!AS71</f>
        <v>11950</v>
      </c>
      <c r="I71" s="32">
        <f>Üldharidus!AT71</f>
        <v>40367</v>
      </c>
      <c r="J71" s="32">
        <f>Üldharidus!AU71</f>
        <v>123725</v>
      </c>
      <c r="K71" s="32">
        <f>Üldharidus!AV71</f>
        <v>139536</v>
      </c>
      <c r="L71" s="32">
        <f>Üldharidus!AW71</f>
        <v>9380</v>
      </c>
      <c r="M71" s="32">
        <f>Lasteaed!G71</f>
        <v>47333</v>
      </c>
      <c r="N71" s="32">
        <f>Huvitegevus!U71</f>
        <v>101342</v>
      </c>
      <c r="O71" s="32">
        <f>'Abivajadusega lapsed'!E71</f>
        <v>9033</v>
      </c>
      <c r="P71" s="32">
        <f>Toimetulekutoetus!P71+Toimetulekutoetus!V71</f>
        <v>106400</v>
      </c>
      <c r="Q71" s="32">
        <f>Rahvastikutoimingud!AA71</f>
        <v>195</v>
      </c>
      <c r="R71" s="32">
        <f>'Kohalikud teed'!K71</f>
        <v>235979</v>
      </c>
      <c r="S71" s="32"/>
      <c r="T71" s="33">
        <f t="shared" si="4"/>
        <v>4783746</v>
      </c>
      <c r="U71" s="32">
        <v>58272</v>
      </c>
      <c r="V71" s="32">
        <f>Toimetulekutoetus!V71</f>
        <v>41000</v>
      </c>
    </row>
    <row r="72" spans="1:22" x14ac:dyDescent="0.2">
      <c r="A72" s="27" t="s">
        <v>10</v>
      </c>
      <c r="B72" s="28" t="s">
        <v>226</v>
      </c>
      <c r="C72" s="32">
        <f>Tasandusfond!BC72</f>
        <v>1420614</v>
      </c>
      <c r="D72" s="32">
        <f t="shared" si="3"/>
        <v>2318252</v>
      </c>
      <c r="E72" s="32">
        <f>Üldharidus!AJ72</f>
        <v>1767301</v>
      </c>
      <c r="F72" s="32">
        <f>Üldharidus!AQ72</f>
        <v>187176</v>
      </c>
      <c r="G72" s="32">
        <f>Üldharidus!AR72</f>
        <v>85320</v>
      </c>
      <c r="H72" s="32">
        <f>Üldharidus!AS72</f>
        <v>10376</v>
      </c>
      <c r="I72" s="32">
        <f>Üldharidus!AT72</f>
        <v>32091</v>
      </c>
      <c r="J72" s="32">
        <f>Üldharidus!AU72</f>
        <v>98350</v>
      </c>
      <c r="K72" s="32">
        <f>Üldharidus!AV72</f>
        <v>130968</v>
      </c>
      <c r="L72" s="32">
        <f>Üldharidus!AW72</f>
        <v>6670</v>
      </c>
      <c r="M72" s="32">
        <f>Lasteaed!G72</f>
        <v>89500</v>
      </c>
      <c r="N72" s="32">
        <f>Huvitegevus!U72</f>
        <v>112715</v>
      </c>
      <c r="O72" s="32">
        <f>'Abivajadusega lapsed'!E72</f>
        <v>11613</v>
      </c>
      <c r="P72" s="32">
        <f>Toimetulekutoetus!P72+Toimetulekutoetus!V72</f>
        <v>202582</v>
      </c>
      <c r="Q72" s="32">
        <f>Rahvastikutoimingud!AA72</f>
        <v>270</v>
      </c>
      <c r="R72" s="32">
        <f>'Kohalikud teed'!K72</f>
        <v>226603</v>
      </c>
      <c r="S72" s="32"/>
      <c r="T72" s="33">
        <f t="shared" si="4"/>
        <v>4382149</v>
      </c>
      <c r="U72" s="32">
        <v>43471</v>
      </c>
      <c r="V72" s="32">
        <f>Toimetulekutoetus!V72</f>
        <v>0</v>
      </c>
    </row>
    <row r="73" spans="1:22" x14ac:dyDescent="0.2">
      <c r="A73" s="27" t="s">
        <v>10</v>
      </c>
      <c r="B73" s="28" t="s">
        <v>227</v>
      </c>
      <c r="C73" s="32">
        <f>Tasandusfond!BC73</f>
        <v>5189813</v>
      </c>
      <c r="D73" s="32">
        <f t="shared" si="3"/>
        <v>4976823</v>
      </c>
      <c r="E73" s="32">
        <f>Üldharidus!AJ73</f>
        <v>4113084</v>
      </c>
      <c r="F73" s="32">
        <f>Üldharidus!AQ73</f>
        <v>0</v>
      </c>
      <c r="G73" s="32">
        <f>Üldharidus!AR73</f>
        <v>180387</v>
      </c>
      <c r="H73" s="32">
        <f>Üldharidus!AS73</f>
        <v>24259</v>
      </c>
      <c r="I73" s="32">
        <f>Üldharidus!AT73</f>
        <v>75411</v>
      </c>
      <c r="J73" s="32">
        <f>Üldharidus!AU73</f>
        <v>229600</v>
      </c>
      <c r="K73" s="32">
        <f>Üldharidus!AV73</f>
        <v>339048</v>
      </c>
      <c r="L73" s="32">
        <f>Üldharidus!AW73</f>
        <v>15034</v>
      </c>
      <c r="M73" s="32">
        <f>Lasteaed!G73</f>
        <v>133963</v>
      </c>
      <c r="N73" s="32">
        <f>Huvitegevus!U73</f>
        <v>233759</v>
      </c>
      <c r="O73" s="32">
        <f>'Abivajadusega lapsed'!E73</f>
        <v>38711</v>
      </c>
      <c r="P73" s="32">
        <f>Toimetulekutoetus!P73+Toimetulekutoetus!V73</f>
        <v>1055746</v>
      </c>
      <c r="Q73" s="32">
        <f>Rahvastikutoimingud!AA73</f>
        <v>15073</v>
      </c>
      <c r="R73" s="32">
        <f>'Kohalikud teed'!K73</f>
        <v>484771</v>
      </c>
      <c r="S73" s="32"/>
      <c r="T73" s="33">
        <f t="shared" si="4"/>
        <v>12128659</v>
      </c>
      <c r="U73" s="32">
        <v>91479</v>
      </c>
      <c r="V73" s="32">
        <f>Toimetulekutoetus!V73</f>
        <v>75000</v>
      </c>
    </row>
    <row r="74" spans="1:22" x14ac:dyDescent="0.2">
      <c r="A74" s="27" t="s">
        <v>6</v>
      </c>
      <c r="B74" s="28" t="s">
        <v>228</v>
      </c>
      <c r="C74" s="32">
        <f>Tasandusfond!BC74</f>
        <v>2246591</v>
      </c>
      <c r="D74" s="32">
        <f t="shared" si="3"/>
        <v>2837925</v>
      </c>
      <c r="E74" s="32">
        <f>Üldharidus!AJ74</f>
        <v>2156983</v>
      </c>
      <c r="F74" s="32">
        <f>Üldharidus!AQ74</f>
        <v>282421</v>
      </c>
      <c r="G74" s="32">
        <f>Üldharidus!AR74</f>
        <v>92117</v>
      </c>
      <c r="H74" s="32">
        <f>Üldharidus!AS74</f>
        <v>11127</v>
      </c>
      <c r="I74" s="32">
        <f>Üldharidus!AT74</f>
        <v>38361</v>
      </c>
      <c r="J74" s="32">
        <f>Üldharidus!AU74</f>
        <v>117600</v>
      </c>
      <c r="K74" s="32">
        <f>Üldharidus!AV74</f>
        <v>130968</v>
      </c>
      <c r="L74" s="32">
        <f>Üldharidus!AW74</f>
        <v>8348</v>
      </c>
      <c r="M74" s="32">
        <f>Lasteaed!G74</f>
        <v>73755</v>
      </c>
      <c r="N74" s="32">
        <f>Huvitegevus!U74</f>
        <v>124026</v>
      </c>
      <c r="O74" s="32">
        <f>'Abivajadusega lapsed'!E74</f>
        <v>14624</v>
      </c>
      <c r="P74" s="32">
        <f>Toimetulekutoetus!P74+Toimetulekutoetus!V74</f>
        <v>169189</v>
      </c>
      <c r="Q74" s="32">
        <f>Rahvastikutoimingud!AA74</f>
        <v>363</v>
      </c>
      <c r="R74" s="32">
        <f>'Kohalikud teed'!K74</f>
        <v>310196</v>
      </c>
      <c r="S74" s="32"/>
      <c r="T74" s="33">
        <f t="shared" si="4"/>
        <v>5776669</v>
      </c>
      <c r="U74" s="32">
        <v>54256</v>
      </c>
      <c r="V74" s="32">
        <f>Toimetulekutoetus!V74</f>
        <v>54000</v>
      </c>
    </row>
    <row r="75" spans="1:22" x14ac:dyDescent="0.2">
      <c r="A75" s="27" t="s">
        <v>6</v>
      </c>
      <c r="B75" s="28" t="s">
        <v>229</v>
      </c>
      <c r="C75" s="32">
        <f>Tasandusfond!BC75</f>
        <v>2087110</v>
      </c>
      <c r="D75" s="32">
        <f t="shared" si="3"/>
        <v>4012691</v>
      </c>
      <c r="E75" s="32">
        <f>Üldharidus!AJ75</f>
        <v>3165269</v>
      </c>
      <c r="F75" s="32">
        <f>Üldharidus!AQ75</f>
        <v>184339</v>
      </c>
      <c r="G75" s="32">
        <f>Üldharidus!AR75</f>
        <v>129817</v>
      </c>
      <c r="H75" s="32">
        <f>Üldharidus!AS75</f>
        <v>12907</v>
      </c>
      <c r="I75" s="32">
        <f>Üldharidus!AT75</f>
        <v>48450</v>
      </c>
      <c r="J75" s="32">
        <f>Üldharidus!AU75</f>
        <v>148050</v>
      </c>
      <c r="K75" s="32">
        <f>Üldharidus!AV75</f>
        <v>312120</v>
      </c>
      <c r="L75" s="32">
        <f>Üldharidus!AW75</f>
        <v>11739</v>
      </c>
      <c r="M75" s="32">
        <f>Lasteaed!G75</f>
        <v>130680</v>
      </c>
      <c r="N75" s="32">
        <f>Huvitegevus!U75</f>
        <v>133539</v>
      </c>
      <c r="O75" s="32">
        <f>'Abivajadusega lapsed'!E75</f>
        <v>14624</v>
      </c>
      <c r="P75" s="32">
        <f>Toimetulekutoetus!P75+Toimetulekutoetus!V75</f>
        <v>168064</v>
      </c>
      <c r="Q75" s="32">
        <f>Rahvastikutoimingud!AA75</f>
        <v>302</v>
      </c>
      <c r="R75" s="32">
        <f>'Kohalikud teed'!K75</f>
        <v>311046</v>
      </c>
      <c r="S75" s="32"/>
      <c r="T75" s="33">
        <f t="shared" si="4"/>
        <v>6858056</v>
      </c>
      <c r="U75" s="32">
        <v>74499</v>
      </c>
      <c r="V75" s="32">
        <f>Toimetulekutoetus!V75</f>
        <v>44000</v>
      </c>
    </row>
    <row r="76" spans="1:22" x14ac:dyDescent="0.2">
      <c r="A76" s="27" t="s">
        <v>6</v>
      </c>
      <c r="B76" s="28" t="s">
        <v>94</v>
      </c>
      <c r="C76" s="32">
        <f>Tasandusfond!BC76</f>
        <v>3068748</v>
      </c>
      <c r="D76" s="32">
        <f t="shared" si="3"/>
        <v>4361574</v>
      </c>
      <c r="E76" s="32">
        <f>Üldharidus!AJ76</f>
        <v>3675219</v>
      </c>
      <c r="F76" s="32">
        <f>Üldharidus!AQ76</f>
        <v>99505</v>
      </c>
      <c r="G76" s="32">
        <f>Üldharidus!AR76</f>
        <v>151266</v>
      </c>
      <c r="H76" s="32">
        <f>Üldharidus!AS76</f>
        <v>17974</v>
      </c>
      <c r="I76" s="32">
        <f>Üldharidus!AT76</f>
        <v>54606</v>
      </c>
      <c r="J76" s="32">
        <f>Üldharidus!AU76</f>
        <v>167300</v>
      </c>
      <c r="K76" s="32">
        <f>Üldharidus!AV76</f>
        <v>181152</v>
      </c>
      <c r="L76" s="32">
        <f>Üldharidus!AW76</f>
        <v>14552</v>
      </c>
      <c r="M76" s="32">
        <f>Lasteaed!G76</f>
        <v>167324</v>
      </c>
      <c r="N76" s="32">
        <f>Huvitegevus!U76</f>
        <v>202017</v>
      </c>
      <c r="O76" s="32">
        <f>'Abivajadusega lapsed'!E76</f>
        <v>24947</v>
      </c>
      <c r="P76" s="32">
        <f>Toimetulekutoetus!P76+Toimetulekutoetus!V76</f>
        <v>115146</v>
      </c>
      <c r="Q76" s="32">
        <f>Rahvastikutoimingud!AA76</f>
        <v>592</v>
      </c>
      <c r="R76" s="32">
        <f>'Kohalikud teed'!K76</f>
        <v>445363</v>
      </c>
      <c r="S76" s="32"/>
      <c r="T76" s="33">
        <f t="shared" si="4"/>
        <v>8385711</v>
      </c>
      <c r="U76" s="32">
        <v>83954</v>
      </c>
      <c r="V76" s="32">
        <f>Toimetulekutoetus!V76</f>
        <v>33000</v>
      </c>
    </row>
    <row r="77" spans="1:22" x14ac:dyDescent="0.2">
      <c r="A77" s="27" t="s">
        <v>6</v>
      </c>
      <c r="B77" s="28" t="s">
        <v>5</v>
      </c>
      <c r="C77" s="32">
        <f>Tasandusfond!BC77</f>
        <v>2483937</v>
      </c>
      <c r="D77" s="32">
        <f t="shared" si="3"/>
        <v>7353548</v>
      </c>
      <c r="E77" s="32">
        <f>Üldharidus!AJ77</f>
        <v>5473398</v>
      </c>
      <c r="F77" s="32">
        <f>Üldharidus!AQ77</f>
        <v>685174</v>
      </c>
      <c r="G77" s="32">
        <f>Üldharidus!AR77</f>
        <v>220432</v>
      </c>
      <c r="H77" s="32">
        <f>Üldharidus!AS77</f>
        <v>28752</v>
      </c>
      <c r="I77" s="32">
        <f>Üldharidus!AT77</f>
        <v>136481</v>
      </c>
      <c r="J77" s="32">
        <f>Üldharidus!AU77</f>
        <v>351575</v>
      </c>
      <c r="K77" s="32">
        <f>Üldharidus!AV77</f>
        <v>438192</v>
      </c>
      <c r="L77" s="32">
        <f>Üldharidus!AW77</f>
        <v>19544</v>
      </c>
      <c r="M77" s="32">
        <f>Lasteaed!G77</f>
        <v>321701</v>
      </c>
      <c r="N77" s="32">
        <f>Huvitegevus!U77</f>
        <v>60238</v>
      </c>
      <c r="O77" s="32">
        <f>'Abivajadusega lapsed'!E77</f>
        <v>41722</v>
      </c>
      <c r="P77" s="32">
        <f>Toimetulekutoetus!P77+Toimetulekutoetus!V77</f>
        <v>202188</v>
      </c>
      <c r="Q77" s="32">
        <f>Rahvastikutoimingud!AA77</f>
        <v>28449</v>
      </c>
      <c r="R77" s="32">
        <f>'Kohalikud teed'!K77</f>
        <v>330727</v>
      </c>
      <c r="S77" s="32"/>
      <c r="T77" s="33">
        <f t="shared" si="4"/>
        <v>10822510</v>
      </c>
      <c r="U77" s="32">
        <v>136974</v>
      </c>
      <c r="V77" s="32">
        <f>Toimetulekutoetus!V77</f>
        <v>0</v>
      </c>
    </row>
    <row r="78" spans="1:22" x14ac:dyDescent="0.2">
      <c r="A78" s="27" t="s">
        <v>1</v>
      </c>
      <c r="B78" s="28" t="s">
        <v>93</v>
      </c>
      <c r="C78" s="32">
        <f>Tasandusfond!BC78</f>
        <v>1213939</v>
      </c>
      <c r="D78" s="32">
        <f t="shared" si="3"/>
        <v>1837320</v>
      </c>
      <c r="E78" s="32">
        <f>Üldharidus!AJ78</f>
        <v>1360903</v>
      </c>
      <c r="F78" s="32">
        <f>Üldharidus!AQ78</f>
        <v>189855</v>
      </c>
      <c r="G78" s="32">
        <f>Üldharidus!AR78</f>
        <v>54711</v>
      </c>
      <c r="H78" s="32">
        <f>Üldharidus!AS78</f>
        <v>7196</v>
      </c>
      <c r="I78" s="32">
        <f>Üldharidus!AT78</f>
        <v>23313</v>
      </c>
      <c r="J78" s="32">
        <f>Üldharidus!AU78</f>
        <v>71400</v>
      </c>
      <c r="K78" s="32">
        <f>Üldharidus!AV78</f>
        <v>124848</v>
      </c>
      <c r="L78" s="32">
        <f>Üldharidus!AW78</f>
        <v>5094</v>
      </c>
      <c r="M78" s="32">
        <f>Lasteaed!G78</f>
        <v>39185</v>
      </c>
      <c r="N78" s="32">
        <f>Huvitegevus!U78</f>
        <v>71435</v>
      </c>
      <c r="O78" s="32">
        <f>'Abivajadusega lapsed'!E78</f>
        <v>11183</v>
      </c>
      <c r="P78" s="32">
        <f>Toimetulekutoetus!P78+Toimetulekutoetus!V78</f>
        <v>17287</v>
      </c>
      <c r="Q78" s="32">
        <f>Rahvastikutoimingud!AA78</f>
        <v>122</v>
      </c>
      <c r="R78" s="32">
        <f>'Kohalikud teed'!K78</f>
        <v>208447</v>
      </c>
      <c r="S78" s="32"/>
      <c r="T78" s="33">
        <f t="shared" si="4"/>
        <v>3398918</v>
      </c>
      <c r="U78" s="32">
        <v>34491</v>
      </c>
      <c r="V78" s="32">
        <f>Toimetulekutoetus!V78</f>
        <v>10000</v>
      </c>
    </row>
    <row r="79" spans="1:22" x14ac:dyDescent="0.2">
      <c r="A79" s="27" t="s">
        <v>1</v>
      </c>
      <c r="B79" s="28" t="s">
        <v>92</v>
      </c>
      <c r="C79" s="32">
        <f>Tasandusfond!BC79</f>
        <v>704571</v>
      </c>
      <c r="D79" s="32">
        <f t="shared" si="3"/>
        <v>1751297</v>
      </c>
      <c r="E79" s="32">
        <f>Üldharidus!AJ79</f>
        <v>1437627</v>
      </c>
      <c r="F79" s="32">
        <f>Üldharidus!AQ79</f>
        <v>0</v>
      </c>
      <c r="G79" s="32">
        <f>Üldharidus!AR79</f>
        <v>98943</v>
      </c>
      <c r="H79" s="32">
        <f>Üldharidus!AS79</f>
        <v>10389</v>
      </c>
      <c r="I79" s="32">
        <f>Üldharidus!AT79</f>
        <v>19722</v>
      </c>
      <c r="J79" s="32">
        <f>Üldharidus!AU79</f>
        <v>60375</v>
      </c>
      <c r="K79" s="32">
        <f>Üldharidus!AV79</f>
        <v>118728</v>
      </c>
      <c r="L79" s="32">
        <f>Üldharidus!AW79</f>
        <v>5513</v>
      </c>
      <c r="M79" s="32">
        <f>Lasteaed!G79</f>
        <v>50259</v>
      </c>
      <c r="N79" s="32">
        <f>Huvitegevus!U79</f>
        <v>75950</v>
      </c>
      <c r="O79" s="32">
        <f>'Abivajadusega lapsed'!E79</f>
        <v>5161</v>
      </c>
      <c r="P79" s="32">
        <f>Toimetulekutoetus!P79+Toimetulekutoetus!V79</f>
        <v>95297</v>
      </c>
      <c r="Q79" s="32">
        <f>Rahvastikutoimingud!AA79</f>
        <v>193</v>
      </c>
      <c r="R79" s="32">
        <f>'Kohalikud teed'!K79</f>
        <v>367898</v>
      </c>
      <c r="S79" s="32"/>
      <c r="T79" s="33">
        <f t="shared" si="4"/>
        <v>3050626</v>
      </c>
      <c r="U79" s="32">
        <v>31975</v>
      </c>
      <c r="V79" s="32">
        <f>Toimetulekutoetus!V79</f>
        <v>9000</v>
      </c>
    </row>
    <row r="80" spans="1:22" x14ac:dyDescent="0.2">
      <c r="A80" s="27" t="s">
        <v>1</v>
      </c>
      <c r="B80" s="28" t="s">
        <v>230</v>
      </c>
      <c r="C80" s="32">
        <f>Tasandusfond!BC80</f>
        <v>773583</v>
      </c>
      <c r="D80" s="32">
        <f t="shared" si="3"/>
        <v>1108869</v>
      </c>
      <c r="E80" s="32">
        <f>Üldharidus!AJ80</f>
        <v>886121</v>
      </c>
      <c r="F80" s="32">
        <f>Üldharidus!AQ80</f>
        <v>96887</v>
      </c>
      <c r="G80" s="32">
        <f>Üldharidus!AR80</f>
        <v>42320</v>
      </c>
      <c r="H80" s="32">
        <f>Üldharidus!AS80</f>
        <v>4216</v>
      </c>
      <c r="I80" s="32">
        <f>Üldharidus!AT80</f>
        <v>12882</v>
      </c>
      <c r="J80" s="32">
        <f>Üldharidus!AU80</f>
        <v>39550</v>
      </c>
      <c r="K80" s="32">
        <f>Üldharidus!AV80</f>
        <v>23256</v>
      </c>
      <c r="L80" s="32">
        <f>Üldharidus!AW80</f>
        <v>3637</v>
      </c>
      <c r="M80" s="32">
        <f>Lasteaed!G80</f>
        <v>17697</v>
      </c>
      <c r="N80" s="32">
        <f>Huvitegevus!U80</f>
        <v>55471</v>
      </c>
      <c r="O80" s="32">
        <f>'Abivajadusega lapsed'!E80</f>
        <v>1720</v>
      </c>
      <c r="P80" s="32">
        <f>Toimetulekutoetus!P80+Toimetulekutoetus!V80</f>
        <v>91640</v>
      </c>
      <c r="Q80" s="32">
        <f>Rahvastikutoimingud!AA80</f>
        <v>87</v>
      </c>
      <c r="R80" s="32">
        <f>'Kohalikud teed'!K80</f>
        <v>224177</v>
      </c>
      <c r="S80" s="32"/>
      <c r="T80" s="33">
        <f t="shared" si="4"/>
        <v>2273244</v>
      </c>
      <c r="U80" s="32">
        <v>21864</v>
      </c>
      <c r="V80" s="32">
        <f>Toimetulekutoetus!V80</f>
        <v>10000</v>
      </c>
    </row>
    <row r="81" spans="1:22" x14ac:dyDescent="0.2">
      <c r="A81" s="27" t="s">
        <v>1</v>
      </c>
      <c r="B81" s="28" t="s">
        <v>91</v>
      </c>
      <c r="C81" s="32">
        <f>Tasandusfond!BC81</f>
        <v>3107527</v>
      </c>
      <c r="D81" s="32">
        <f t="shared" si="3"/>
        <v>4455424</v>
      </c>
      <c r="E81" s="32">
        <f>Üldharidus!AJ81</f>
        <v>3362680</v>
      </c>
      <c r="F81" s="32">
        <f>Üldharidus!AQ81</f>
        <v>413761</v>
      </c>
      <c r="G81" s="32">
        <f>Üldharidus!AR81</f>
        <v>158630</v>
      </c>
      <c r="H81" s="32">
        <f>Üldharidus!AS81</f>
        <v>18078</v>
      </c>
      <c r="I81" s="32">
        <f>Üldharidus!AT81</f>
        <v>60705</v>
      </c>
      <c r="J81" s="32">
        <f>Üldharidus!AU81</f>
        <v>186375</v>
      </c>
      <c r="K81" s="32">
        <f>Üldharidus!AV81</f>
        <v>242352</v>
      </c>
      <c r="L81" s="32">
        <f>Üldharidus!AW81</f>
        <v>12843</v>
      </c>
      <c r="M81" s="32">
        <f>Lasteaed!G81</f>
        <v>167658</v>
      </c>
      <c r="N81" s="32">
        <f>Huvitegevus!U81</f>
        <v>194823</v>
      </c>
      <c r="O81" s="32">
        <f>'Abivajadusega lapsed'!E81</f>
        <v>16775</v>
      </c>
      <c r="P81" s="32">
        <f>Toimetulekutoetus!P81+Toimetulekutoetus!V81</f>
        <v>192196</v>
      </c>
      <c r="Q81" s="32">
        <f>Rahvastikutoimingud!AA81</f>
        <v>714</v>
      </c>
      <c r="R81" s="32">
        <f>'Kohalikud teed'!K81</f>
        <v>406382</v>
      </c>
      <c r="S81" s="32"/>
      <c r="T81" s="33">
        <f t="shared" si="4"/>
        <v>8541499</v>
      </c>
      <c r="U81" s="32">
        <v>83993</v>
      </c>
      <c r="V81" s="32">
        <f>Toimetulekutoetus!V81</f>
        <v>48000</v>
      </c>
    </row>
    <row r="82" spans="1:22" x14ac:dyDescent="0.2">
      <c r="A82" s="27" t="s">
        <v>1</v>
      </c>
      <c r="B82" s="28" t="s">
        <v>0</v>
      </c>
      <c r="C82" s="32">
        <f>Tasandusfond!BC82</f>
        <v>2690989</v>
      </c>
      <c r="D82" s="32">
        <f t="shared" si="3"/>
        <v>4033417</v>
      </c>
      <c r="E82" s="32">
        <f>Üldharidus!AJ82</f>
        <v>3264129</v>
      </c>
      <c r="F82" s="32">
        <f>Üldharidus!AQ82</f>
        <v>0</v>
      </c>
      <c r="G82" s="32">
        <f>Üldharidus!AR82</f>
        <v>148423</v>
      </c>
      <c r="H82" s="32">
        <f>Üldharidus!AS82</f>
        <v>21045</v>
      </c>
      <c r="I82" s="32">
        <f>Üldharidus!AT82</f>
        <v>67146</v>
      </c>
      <c r="J82" s="32">
        <f>Üldharidus!AU82</f>
        <v>205450</v>
      </c>
      <c r="K82" s="32">
        <f>Üldharidus!AV82</f>
        <v>315792</v>
      </c>
      <c r="L82" s="32">
        <f>Üldharidus!AW82</f>
        <v>11432</v>
      </c>
      <c r="M82" s="32">
        <f>Lasteaed!G82</f>
        <v>294862</v>
      </c>
      <c r="N82" s="32">
        <f>Huvitegevus!U82</f>
        <v>87225</v>
      </c>
      <c r="O82" s="32">
        <f>'Abivajadusega lapsed'!E82</f>
        <v>28818</v>
      </c>
      <c r="P82" s="32">
        <f>Toimetulekutoetus!P82+Toimetulekutoetus!V82</f>
        <v>580009</v>
      </c>
      <c r="Q82" s="32">
        <f>Rahvastikutoimingud!AA82</f>
        <v>17162</v>
      </c>
      <c r="R82" s="32">
        <f>'Kohalikud teed'!K82</f>
        <v>243912</v>
      </c>
      <c r="S82" s="32"/>
      <c r="T82" s="33">
        <f t="shared" si="4"/>
        <v>7976394</v>
      </c>
      <c r="U82" s="32">
        <v>72599</v>
      </c>
      <c r="V82" s="32">
        <f>Toimetulekutoetus!V82</f>
        <v>0</v>
      </c>
    </row>
    <row r="83" spans="1:22" x14ac:dyDescent="0.2">
      <c r="A83" s="308" t="s">
        <v>149</v>
      </c>
      <c r="B83" s="308"/>
      <c r="C83" s="33">
        <f>SUM(C4:C82)</f>
        <v>135126000</v>
      </c>
      <c r="D83" s="33">
        <f t="shared" ref="D83:V83" si="5">SUM(D4:D82)</f>
        <v>494754304</v>
      </c>
      <c r="E83" s="33">
        <f t="shared" si="5"/>
        <v>370546576</v>
      </c>
      <c r="F83" s="33">
        <f t="shared" si="5"/>
        <v>46321067</v>
      </c>
      <c r="G83" s="33">
        <f t="shared" si="5"/>
        <v>15491207</v>
      </c>
      <c r="H83" s="33">
        <f t="shared" si="5"/>
        <v>1996044</v>
      </c>
      <c r="I83" s="33">
        <f t="shared" si="5"/>
        <v>8193556</v>
      </c>
      <c r="J83" s="33">
        <f t="shared" si="5"/>
        <v>24351075</v>
      </c>
      <c r="K83" s="33">
        <f t="shared" si="5"/>
        <v>26474875</v>
      </c>
      <c r="L83" s="33">
        <f t="shared" si="5"/>
        <v>1379904</v>
      </c>
      <c r="M83" s="33">
        <f t="shared" si="5"/>
        <v>16000000</v>
      </c>
      <c r="N83" s="33">
        <f t="shared" si="5"/>
        <v>10250000</v>
      </c>
      <c r="O83" s="33">
        <f t="shared" si="5"/>
        <v>2649993</v>
      </c>
      <c r="P83" s="33">
        <f t="shared" si="5"/>
        <v>40010137</v>
      </c>
      <c r="Q83" s="33">
        <f t="shared" si="5"/>
        <v>961457</v>
      </c>
      <c r="R83" s="33">
        <f t="shared" si="5"/>
        <v>29313000</v>
      </c>
      <c r="S83" s="33">
        <f t="shared" si="5"/>
        <v>78693</v>
      </c>
      <c r="T83" s="33">
        <f t="shared" si="5"/>
        <v>729143584</v>
      </c>
      <c r="U83" s="33">
        <f t="shared" si="5"/>
        <v>9271481</v>
      </c>
      <c r="V83" s="33">
        <f t="shared" si="5"/>
        <v>4389000</v>
      </c>
    </row>
    <row r="84" spans="1:22" ht="13.35" customHeight="1" x14ac:dyDescent="0.2">
      <c r="A84" s="305" t="s">
        <v>200</v>
      </c>
      <c r="B84" s="306"/>
      <c r="C84" s="32">
        <f>Tasandusfond!BC85</f>
        <v>0</v>
      </c>
      <c r="D84" s="32">
        <f>Üldharidus!AX85</f>
        <v>8696</v>
      </c>
      <c r="E84" s="32"/>
      <c r="F84" s="32"/>
      <c r="G84" s="32"/>
      <c r="H84" s="32"/>
      <c r="I84" s="32"/>
      <c r="J84" s="32"/>
      <c r="K84" s="32"/>
      <c r="L84" s="32"/>
      <c r="M84" s="32">
        <f>Lasteaed!G85</f>
        <v>0</v>
      </c>
      <c r="N84" s="32">
        <f>Huvitegevus!U85</f>
        <v>0</v>
      </c>
      <c r="O84" s="32">
        <f>'Abivajadusega lapsed'!E85</f>
        <v>7</v>
      </c>
      <c r="P84" s="32">
        <f>Toimetulekutoetus!V85</f>
        <v>-1428497</v>
      </c>
      <c r="Q84" s="32">
        <f>Rahvastikutoimingud!AA85</f>
        <v>165543</v>
      </c>
      <c r="R84" s="32">
        <f>'Kohalikud teed'!K85</f>
        <v>0</v>
      </c>
      <c r="S84" s="32">
        <f>'Üleantud teed'!H12</f>
        <v>1</v>
      </c>
      <c r="T84" s="33">
        <f t="shared" si="4"/>
        <v>-1254250</v>
      </c>
      <c r="U84" s="2"/>
      <c r="V84" s="103"/>
    </row>
    <row r="85" spans="1:22" ht="13.35" customHeight="1" x14ac:dyDescent="0.2">
      <c r="A85" s="305" t="s">
        <v>199</v>
      </c>
      <c r="B85" s="306"/>
      <c r="C85" s="33">
        <f>C84+C83</f>
        <v>135126000</v>
      </c>
      <c r="D85" s="33">
        <f t="shared" ref="D85:T85" si="6">D84+D83</f>
        <v>494763000</v>
      </c>
      <c r="E85" s="33">
        <f t="shared" si="6"/>
        <v>370546576</v>
      </c>
      <c r="F85" s="33">
        <f t="shared" si="6"/>
        <v>46321067</v>
      </c>
      <c r="G85" s="33">
        <f t="shared" si="6"/>
        <v>15491207</v>
      </c>
      <c r="H85" s="33">
        <f t="shared" si="6"/>
        <v>1996044</v>
      </c>
      <c r="I85" s="33">
        <f t="shared" si="6"/>
        <v>8193556</v>
      </c>
      <c r="J85" s="33">
        <f t="shared" si="6"/>
        <v>24351075</v>
      </c>
      <c r="K85" s="33">
        <f t="shared" si="6"/>
        <v>26474875</v>
      </c>
      <c r="L85" s="33">
        <f t="shared" ref="L85" si="7">L84+L83</f>
        <v>1379904</v>
      </c>
      <c r="M85" s="33">
        <f t="shared" si="6"/>
        <v>16000000</v>
      </c>
      <c r="N85" s="33">
        <f>N84+N83</f>
        <v>10250000</v>
      </c>
      <c r="O85" s="33">
        <f t="shared" si="6"/>
        <v>2650000</v>
      </c>
      <c r="P85" s="33">
        <f t="shared" si="6"/>
        <v>38581640</v>
      </c>
      <c r="Q85" s="33">
        <f t="shared" si="6"/>
        <v>1127000</v>
      </c>
      <c r="R85" s="33">
        <f t="shared" si="6"/>
        <v>29313000</v>
      </c>
      <c r="S85" s="33">
        <f t="shared" si="6"/>
        <v>78694</v>
      </c>
      <c r="T85" s="33">
        <f t="shared" si="6"/>
        <v>727889334</v>
      </c>
      <c r="U85" s="2"/>
      <c r="V85" s="103"/>
    </row>
    <row r="86" spans="1:22" x14ac:dyDescent="0.2">
      <c r="B86" s="34" t="s">
        <v>392</v>
      </c>
      <c r="C86" s="35">
        <v>135126000</v>
      </c>
      <c r="D86" s="35">
        <f>485490000+9273000</f>
        <v>494763000</v>
      </c>
      <c r="E86" s="36"/>
      <c r="F86" s="36"/>
      <c r="G86" s="36"/>
      <c r="H86" s="36"/>
      <c r="I86" s="36"/>
      <c r="J86" s="36"/>
      <c r="K86" s="36"/>
      <c r="L86" s="36"/>
      <c r="M86" s="35">
        <v>16000000</v>
      </c>
      <c r="N86" s="35">
        <v>10250000</v>
      </c>
      <c r="O86" s="35">
        <v>2650000</v>
      </c>
      <c r="P86" s="35">
        <v>38581640</v>
      </c>
      <c r="Q86" s="35">
        <f>1127000</f>
        <v>1127000</v>
      </c>
      <c r="R86" s="35">
        <v>29313000</v>
      </c>
      <c r="S86" s="35">
        <v>78694</v>
      </c>
      <c r="T86" s="35">
        <f>C86+D86+SUM(M86:S86)</f>
        <v>727889334</v>
      </c>
      <c r="U86" s="2"/>
      <c r="V86" s="103"/>
    </row>
    <row r="87" spans="1:22" x14ac:dyDescent="0.2">
      <c r="C87" s="42">
        <f>C85-C86</f>
        <v>0</v>
      </c>
      <c r="D87" s="42">
        <f>D85-D86</f>
        <v>0</v>
      </c>
      <c r="E87" s="89"/>
      <c r="F87" s="89"/>
      <c r="G87" s="89"/>
      <c r="H87" s="89"/>
      <c r="I87" s="89"/>
      <c r="J87" s="89"/>
      <c r="K87" s="89"/>
      <c r="L87" s="89"/>
      <c r="M87" s="42">
        <f>M85-M86</f>
        <v>0</v>
      </c>
      <c r="N87" s="42">
        <f>N85-N86</f>
        <v>0</v>
      </c>
      <c r="O87" s="42">
        <f t="shared" ref="O87:T87" si="8">O85-O86</f>
        <v>0</v>
      </c>
      <c r="P87" s="42">
        <f t="shared" si="8"/>
        <v>0</v>
      </c>
      <c r="Q87" s="42">
        <f t="shared" si="8"/>
        <v>0</v>
      </c>
      <c r="R87" s="42">
        <f t="shared" si="8"/>
        <v>0</v>
      </c>
      <c r="S87" s="42">
        <f t="shared" si="8"/>
        <v>0</v>
      </c>
      <c r="T87" s="42">
        <f t="shared" si="8"/>
        <v>0</v>
      </c>
      <c r="U87" s="2"/>
      <c r="V87" s="103"/>
    </row>
    <row r="88" spans="1:22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2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2" x14ac:dyDescent="0.2"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2" x14ac:dyDescent="0.2"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2" x14ac:dyDescent="0.2">
      <c r="B92" s="26" t="s">
        <v>366</v>
      </c>
      <c r="C92" t="s">
        <v>364</v>
      </c>
      <c r="D92" t="s">
        <v>364</v>
      </c>
      <c r="M92" t="s">
        <v>365</v>
      </c>
      <c r="N92" t="s">
        <v>365</v>
      </c>
      <c r="O92" t="s">
        <v>501</v>
      </c>
      <c r="P92" t="s">
        <v>365</v>
      </c>
      <c r="Q92" t="s">
        <v>501</v>
      </c>
      <c r="R92" t="s">
        <v>365</v>
      </c>
      <c r="S92" t="s">
        <v>501</v>
      </c>
    </row>
    <row r="94" spans="1:22" x14ac:dyDescent="0.2">
      <c r="B94" s="50" t="s">
        <v>272</v>
      </c>
      <c r="C94" s="51" t="s">
        <v>273</v>
      </c>
      <c r="D94" s="51" t="s">
        <v>274</v>
      </c>
      <c r="E94" s="50"/>
      <c r="F94" s="50"/>
      <c r="G94" s="50"/>
      <c r="H94" s="50"/>
      <c r="I94" s="50"/>
      <c r="J94" s="50"/>
      <c r="K94" s="50"/>
      <c r="L94" s="50"/>
      <c r="M94" s="51" t="s">
        <v>275</v>
      </c>
      <c r="N94" s="51" t="s">
        <v>276</v>
      </c>
      <c r="O94" s="50">
        <v>10121</v>
      </c>
      <c r="P94" s="50">
        <v>10701</v>
      </c>
      <c r="Q94" s="51" t="s">
        <v>273</v>
      </c>
      <c r="R94" s="51" t="s">
        <v>277</v>
      </c>
      <c r="S94" s="51" t="s">
        <v>277</v>
      </c>
    </row>
    <row r="96" spans="1:22" x14ac:dyDescent="0.2">
      <c r="B96" t="s">
        <v>310</v>
      </c>
      <c r="C96" t="s">
        <v>152</v>
      </c>
      <c r="T96" s="2"/>
      <c r="U96" s="2"/>
    </row>
    <row r="97" spans="2:21" x14ac:dyDescent="0.2">
      <c r="B97" s="60" t="s">
        <v>306</v>
      </c>
      <c r="C97" s="61">
        <v>0.28000000000000003</v>
      </c>
      <c r="T97" s="103"/>
      <c r="U97" s="103"/>
    </row>
    <row r="98" spans="2:21" x14ac:dyDescent="0.2">
      <c r="B98" s="60" t="s">
        <v>307</v>
      </c>
      <c r="C98" s="61">
        <v>0.34</v>
      </c>
      <c r="G98" s="78"/>
    </row>
    <row r="99" spans="2:21" x14ac:dyDescent="0.2">
      <c r="B99" s="60" t="s">
        <v>308</v>
      </c>
      <c r="C99" s="61">
        <v>0.18</v>
      </c>
      <c r="T99" s="86"/>
      <c r="U99" s="86"/>
    </row>
    <row r="100" spans="2:21" x14ac:dyDescent="0.2">
      <c r="B100" s="60" t="s">
        <v>309</v>
      </c>
      <c r="C100" s="61">
        <v>0.2</v>
      </c>
      <c r="T100" s="86"/>
      <c r="U100" s="86"/>
    </row>
    <row r="101" spans="2:21" x14ac:dyDescent="0.2">
      <c r="T101" s="86"/>
      <c r="U101" s="86"/>
    </row>
    <row r="102" spans="2:21" x14ac:dyDescent="0.2">
      <c r="B102" s="60" t="s">
        <v>339</v>
      </c>
      <c r="C102" s="35">
        <f>SUMIF(C4:R82,"&lt;0")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108"/>
      <c r="U102" s="108"/>
    </row>
    <row r="103" spans="2:21" x14ac:dyDescent="0.2">
      <c r="T103" s="86"/>
      <c r="U103" s="86"/>
    </row>
    <row r="104" spans="2:21" x14ac:dyDescent="0.2">
      <c r="T104" s="86"/>
      <c r="U104" s="86"/>
    </row>
    <row r="105" spans="2:21" x14ac:dyDescent="0.2">
      <c r="T105" s="86"/>
      <c r="U105" s="86"/>
    </row>
    <row r="106" spans="2:21" x14ac:dyDescent="0.2">
      <c r="T106" s="86"/>
      <c r="U106" s="86"/>
    </row>
    <row r="107" spans="2:21" x14ac:dyDescent="0.2">
      <c r="T107" s="86"/>
      <c r="U107" s="86"/>
    </row>
    <row r="108" spans="2:21" x14ac:dyDescent="0.2">
      <c r="T108" s="86"/>
      <c r="U108" s="86"/>
    </row>
    <row r="109" spans="2:21" x14ac:dyDescent="0.2">
      <c r="T109" s="86"/>
      <c r="U109" s="86"/>
    </row>
    <row r="110" spans="2:21" x14ac:dyDescent="0.2">
      <c r="T110" s="86"/>
      <c r="U110" s="86"/>
    </row>
  </sheetData>
  <mergeCells count="16">
    <mergeCell ref="S2:S3"/>
    <mergeCell ref="T1:T3"/>
    <mergeCell ref="A1:A3"/>
    <mergeCell ref="B1:B3"/>
    <mergeCell ref="A85:B85"/>
    <mergeCell ref="R2:R3"/>
    <mergeCell ref="C1:C3"/>
    <mergeCell ref="A84:B84"/>
    <mergeCell ref="N2:N3"/>
    <mergeCell ref="P2:P3"/>
    <mergeCell ref="Q2:Q3"/>
    <mergeCell ref="A83:B83"/>
    <mergeCell ref="D2:L2"/>
    <mergeCell ref="D1:S1"/>
    <mergeCell ref="M2:M3"/>
    <mergeCell ref="O2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14B96-C496-4ACB-81A4-121C0071A101}">
  <dimension ref="A1:R98"/>
  <sheetViews>
    <sheetView zoomScaleNormal="100" workbookViewId="0">
      <pane xSplit="3" ySplit="3" topLeftCell="D51" activePane="bottomRight" state="frozen"/>
      <selection activeCell="H86" sqref="H86"/>
      <selection pane="topRight" activeCell="H86" sqref="H86"/>
      <selection pane="bottomLeft" activeCell="H86" sqref="H86"/>
      <selection pane="bottomRight" activeCell="H86" sqref="H86"/>
    </sheetView>
  </sheetViews>
  <sheetFormatPr defaultColWidth="8.7109375" defaultRowHeight="12.75" x14ac:dyDescent="0.2"/>
  <cols>
    <col min="1" max="1" width="8.7109375" style="141" bestFit="1" customWidth="1"/>
    <col min="2" max="2" width="18.5703125" style="141" bestFit="1" customWidth="1"/>
    <col min="3" max="3" width="27.42578125" style="141" bestFit="1" customWidth="1"/>
    <col min="4" max="4" width="13" style="141" customWidth="1"/>
    <col min="5" max="5" width="13.28515625" style="141" customWidth="1"/>
    <col min="6" max="7" width="13.7109375" style="141" bestFit="1" customWidth="1"/>
    <col min="8" max="8" width="12.7109375" style="141" bestFit="1" customWidth="1"/>
    <col min="9" max="9" width="11.7109375" style="141" bestFit="1" customWidth="1"/>
    <col min="10" max="10" width="12.7109375" style="141" customWidth="1"/>
    <col min="11" max="11" width="10.5703125" style="141" customWidth="1"/>
    <col min="12" max="12" width="14.5703125" style="141" customWidth="1"/>
    <col min="13" max="14" width="12.5703125" style="141" bestFit="1" customWidth="1"/>
    <col min="15" max="15" width="13.28515625" style="141" customWidth="1"/>
    <col min="16" max="16" width="12.5703125" style="141" bestFit="1" customWidth="1"/>
    <col min="17" max="17" width="13" style="141" customWidth="1"/>
    <col min="18" max="18" width="12.5703125" style="141" bestFit="1" customWidth="1"/>
    <col min="19" max="16384" width="8.7109375" style="141"/>
  </cols>
  <sheetData>
    <row r="1" spans="1:18" ht="15" x14ac:dyDescent="0.25">
      <c r="A1" s="316" t="s">
        <v>148</v>
      </c>
      <c r="B1" s="316" t="s">
        <v>147</v>
      </c>
      <c r="C1" s="316" t="s">
        <v>337</v>
      </c>
      <c r="D1" s="321" t="s">
        <v>455</v>
      </c>
      <c r="E1" s="331"/>
      <c r="F1" s="331"/>
      <c r="G1" s="331"/>
      <c r="H1" s="331"/>
      <c r="I1" s="331"/>
      <c r="J1" s="332"/>
      <c r="K1" s="321" t="s">
        <v>456</v>
      </c>
      <c r="L1" s="333"/>
      <c r="M1" s="334" t="s">
        <v>457</v>
      </c>
      <c r="N1" s="335"/>
      <c r="O1" s="335"/>
      <c r="P1" s="335"/>
      <c r="Q1" s="317" t="s">
        <v>458</v>
      </c>
    </row>
    <row r="2" spans="1:18" x14ac:dyDescent="0.2">
      <c r="A2" s="316"/>
      <c r="B2" s="316"/>
      <c r="C2" s="316"/>
      <c r="D2" s="319">
        <v>2021</v>
      </c>
      <c r="E2" s="319">
        <v>2022</v>
      </c>
      <c r="F2" s="321" t="s">
        <v>459</v>
      </c>
      <c r="G2" s="322"/>
      <c r="H2" s="322"/>
      <c r="I2" s="323"/>
      <c r="J2" s="324" t="s">
        <v>460</v>
      </c>
      <c r="K2" s="326" t="s">
        <v>461</v>
      </c>
      <c r="L2" s="327" t="s">
        <v>462</v>
      </c>
      <c r="M2" s="326">
        <v>2021</v>
      </c>
      <c r="N2" s="326">
        <v>2022</v>
      </c>
      <c r="O2" s="329">
        <v>2023</v>
      </c>
      <c r="P2" s="326" t="s">
        <v>460</v>
      </c>
      <c r="Q2" s="318"/>
    </row>
    <row r="3" spans="1:18" x14ac:dyDescent="0.2">
      <c r="A3" s="316"/>
      <c r="B3" s="316"/>
      <c r="C3" s="316"/>
      <c r="D3" s="320"/>
      <c r="E3" s="320"/>
      <c r="F3" s="142" t="s">
        <v>149</v>
      </c>
      <c r="G3" s="142" t="s">
        <v>488</v>
      </c>
      <c r="H3" s="142" t="s">
        <v>496</v>
      </c>
      <c r="I3" s="174" t="s">
        <v>516</v>
      </c>
      <c r="J3" s="325"/>
      <c r="K3" s="326"/>
      <c r="L3" s="327"/>
      <c r="M3" s="328"/>
      <c r="N3" s="328"/>
      <c r="O3" s="330"/>
      <c r="P3" s="328"/>
      <c r="Q3" s="318"/>
    </row>
    <row r="4" spans="1:18" x14ac:dyDescent="0.2">
      <c r="A4" s="143" t="s">
        <v>69</v>
      </c>
      <c r="B4" s="144" t="s">
        <v>138</v>
      </c>
      <c r="C4" s="144" t="s">
        <v>79</v>
      </c>
      <c r="D4" s="145">
        <v>10196806.229999999</v>
      </c>
      <c r="E4" s="145">
        <v>11042667.540000001</v>
      </c>
      <c r="F4" s="145">
        <f>SUM(G4:I4)</f>
        <v>12881952.639999999</v>
      </c>
      <c r="G4" s="145">
        <v>6248417.54</v>
      </c>
      <c r="H4" s="145">
        <v>5525107.1599999992</v>
      </c>
      <c r="I4" s="145">
        <v>1108427.94</v>
      </c>
      <c r="J4" s="145">
        <f t="shared" ref="J4:J67" si="0">G$89/F$89*F4</f>
        <v>14614586.495663783</v>
      </c>
      <c r="K4" s="145">
        <f>ROUND(J4*0.025*J$85-L4,-3)</f>
        <v>338000</v>
      </c>
      <c r="L4" s="145">
        <f>I4*0.025*J$85</f>
        <v>27721.804517436445</v>
      </c>
      <c r="M4" s="145">
        <v>6136873</v>
      </c>
      <c r="N4" s="145">
        <v>6836317</v>
      </c>
      <c r="O4" s="145">
        <v>7256806</v>
      </c>
      <c r="P4" s="145">
        <f>ROUND(G$93/F$93*O4,-3)</f>
        <v>7722000</v>
      </c>
      <c r="Q4" s="145">
        <f>P4+K4</f>
        <v>8060000</v>
      </c>
      <c r="R4" s="146"/>
    </row>
    <row r="5" spans="1:18" x14ac:dyDescent="0.2">
      <c r="A5" s="143" t="s">
        <v>69</v>
      </c>
      <c r="B5" s="144" t="s">
        <v>137</v>
      </c>
      <c r="C5" s="144" t="s">
        <v>74</v>
      </c>
      <c r="D5" s="145">
        <v>16048517.679999998</v>
      </c>
      <c r="E5" s="145">
        <v>17939285.25</v>
      </c>
      <c r="F5" s="145">
        <f t="shared" ref="F5:F68" si="1">SUM(G5:I5)</f>
        <v>21689000.849999994</v>
      </c>
      <c r="G5" s="145">
        <v>10423770.619999999</v>
      </c>
      <c r="H5" s="145">
        <v>9375955.6499999985</v>
      </c>
      <c r="I5" s="145">
        <v>1889274.58</v>
      </c>
      <c r="J5" s="145">
        <f t="shared" si="0"/>
        <v>24606190.36454168</v>
      </c>
      <c r="K5" s="145">
        <f t="shared" ref="K5:K68" si="2">ROUND(J5*0.025*J$85-L5,-3)</f>
        <v>568000</v>
      </c>
      <c r="L5" s="145">
        <f t="shared" ref="L5:L68" si="3">I5*0.025*J$85</f>
        <v>47250.794297482113</v>
      </c>
      <c r="M5" s="145">
        <v>22315979</v>
      </c>
      <c r="N5" s="145">
        <v>26252009</v>
      </c>
      <c r="O5" s="145">
        <v>30132846</v>
      </c>
      <c r="P5" s="145">
        <f t="shared" ref="P5:P68" si="4">ROUND(G$93/F$93*O5,-3)</f>
        <v>32066000</v>
      </c>
      <c r="Q5" s="145">
        <f t="shared" ref="Q5:Q68" si="5">P5+K5</f>
        <v>32634000</v>
      </c>
      <c r="R5" s="146"/>
    </row>
    <row r="6" spans="1:18" x14ac:dyDescent="0.2">
      <c r="A6" s="143" t="s">
        <v>69</v>
      </c>
      <c r="B6" s="144" t="s">
        <v>136</v>
      </c>
      <c r="C6" s="144" t="s">
        <v>77</v>
      </c>
      <c r="D6" s="145">
        <v>8711707.5700000003</v>
      </c>
      <c r="E6" s="145">
        <v>9640463.2200000025</v>
      </c>
      <c r="F6" s="145">
        <f t="shared" si="1"/>
        <v>11557815.59</v>
      </c>
      <c r="G6" s="145">
        <v>5572582.1800000006</v>
      </c>
      <c r="H6" s="145">
        <v>4980828.1600000001</v>
      </c>
      <c r="I6" s="145">
        <v>1004405.25</v>
      </c>
      <c r="J6" s="145">
        <f t="shared" si="0"/>
        <v>13112351.858560035</v>
      </c>
      <c r="K6" s="145">
        <f t="shared" si="2"/>
        <v>303000</v>
      </c>
      <c r="L6" s="145">
        <f t="shared" si="3"/>
        <v>25120.195000485899</v>
      </c>
      <c r="M6" s="145">
        <v>8175080</v>
      </c>
      <c r="N6" s="145">
        <v>9419926</v>
      </c>
      <c r="O6" s="145">
        <v>10868008</v>
      </c>
      <c r="P6" s="145">
        <f t="shared" si="4"/>
        <v>11565000</v>
      </c>
      <c r="Q6" s="145">
        <f t="shared" si="5"/>
        <v>11868000</v>
      </c>
      <c r="R6" s="146"/>
    </row>
    <row r="7" spans="1:18" x14ac:dyDescent="0.2">
      <c r="A7" s="143" t="s">
        <v>69</v>
      </c>
      <c r="B7" s="144" t="s">
        <v>81</v>
      </c>
      <c r="C7" s="144" t="s">
        <v>81</v>
      </c>
      <c r="D7" s="145">
        <v>13471040.57</v>
      </c>
      <c r="E7" s="145">
        <v>14313561.130000003</v>
      </c>
      <c r="F7" s="145">
        <f t="shared" si="1"/>
        <v>16906241.34</v>
      </c>
      <c r="G7" s="145">
        <v>8133759.7000000002</v>
      </c>
      <c r="H7" s="145">
        <v>7303539.4199999999</v>
      </c>
      <c r="I7" s="145">
        <v>1468942.22</v>
      </c>
      <c r="J7" s="145">
        <f t="shared" si="0"/>
        <v>19180145.532657135</v>
      </c>
      <c r="K7" s="145">
        <f t="shared" si="2"/>
        <v>443000</v>
      </c>
      <c r="L7" s="145">
        <f t="shared" si="3"/>
        <v>36738.273730495392</v>
      </c>
      <c r="M7" s="145">
        <v>12075316</v>
      </c>
      <c r="N7" s="145">
        <v>13275127</v>
      </c>
      <c r="O7" s="145">
        <v>14625776</v>
      </c>
      <c r="P7" s="145">
        <f t="shared" si="4"/>
        <v>15564000</v>
      </c>
      <c r="Q7" s="145">
        <f t="shared" si="5"/>
        <v>16007000</v>
      </c>
      <c r="R7" s="146"/>
    </row>
    <row r="8" spans="1:18" x14ac:dyDescent="0.2">
      <c r="A8" s="143" t="s">
        <v>69</v>
      </c>
      <c r="B8" s="144" t="s">
        <v>135</v>
      </c>
      <c r="C8" s="144" t="s">
        <v>71</v>
      </c>
      <c r="D8" s="145">
        <v>5033652.93</v>
      </c>
      <c r="E8" s="145">
        <v>5619840.1599999992</v>
      </c>
      <c r="F8" s="145">
        <f t="shared" si="1"/>
        <v>6830450.5200000005</v>
      </c>
      <c r="G8" s="145">
        <v>3287867.7</v>
      </c>
      <c r="H8" s="145">
        <v>2948224</v>
      </c>
      <c r="I8" s="145">
        <v>594358.81999999995</v>
      </c>
      <c r="J8" s="145">
        <f t="shared" si="0"/>
        <v>7749152.0671272762</v>
      </c>
      <c r="K8" s="145">
        <f t="shared" si="2"/>
        <v>179000</v>
      </c>
      <c r="L8" s="145">
        <f t="shared" si="3"/>
        <v>14864.925744522639</v>
      </c>
      <c r="M8" s="145">
        <v>8415986</v>
      </c>
      <c r="N8" s="145">
        <v>9795487</v>
      </c>
      <c r="O8" s="145">
        <v>11089302</v>
      </c>
      <c r="P8" s="145">
        <f t="shared" si="4"/>
        <v>11801000</v>
      </c>
      <c r="Q8" s="145">
        <f t="shared" si="5"/>
        <v>11980000</v>
      </c>
      <c r="R8" s="146"/>
    </row>
    <row r="9" spans="1:18" x14ac:dyDescent="0.2">
      <c r="A9" s="143" t="s">
        <v>69</v>
      </c>
      <c r="B9" s="144" t="s">
        <v>134</v>
      </c>
      <c r="C9" s="144" t="s">
        <v>78</v>
      </c>
      <c r="D9" s="145">
        <v>9977708.1000000015</v>
      </c>
      <c r="E9" s="145">
        <v>10453688.199999996</v>
      </c>
      <c r="F9" s="145">
        <f t="shared" si="1"/>
        <v>12224503.780000001</v>
      </c>
      <c r="G9" s="145">
        <v>5924224.4299999997</v>
      </c>
      <c r="H9" s="145">
        <v>5246099.46</v>
      </c>
      <c r="I9" s="145">
        <v>1054179.8899999999</v>
      </c>
      <c r="J9" s="145">
        <f t="shared" si="0"/>
        <v>13868710.191080077</v>
      </c>
      <c r="K9" s="145">
        <f t="shared" si="2"/>
        <v>320000</v>
      </c>
      <c r="L9" s="145">
        <f t="shared" si="3"/>
        <v>26365.059723045826</v>
      </c>
      <c r="M9" s="145">
        <v>7632100</v>
      </c>
      <c r="N9" s="145">
        <v>8676114</v>
      </c>
      <c r="O9" s="145">
        <v>9831000</v>
      </c>
      <c r="P9" s="145">
        <f t="shared" si="4"/>
        <v>10462000</v>
      </c>
      <c r="Q9" s="147">
        <f t="shared" si="5"/>
        <v>10782000</v>
      </c>
      <c r="R9" s="146"/>
    </row>
    <row r="10" spans="1:18" x14ac:dyDescent="0.2">
      <c r="A10" s="143" t="s">
        <v>69</v>
      </c>
      <c r="B10" s="144" t="s">
        <v>133</v>
      </c>
      <c r="C10" s="144" t="s">
        <v>84</v>
      </c>
      <c r="D10" s="145">
        <v>10468562.059999999</v>
      </c>
      <c r="E10" s="145">
        <v>11378975.809999999</v>
      </c>
      <c r="F10" s="145">
        <f t="shared" si="1"/>
        <v>13392579.49</v>
      </c>
      <c r="G10" s="145">
        <v>6480498.4699999997</v>
      </c>
      <c r="H10" s="145">
        <v>5754100.8000000007</v>
      </c>
      <c r="I10" s="145">
        <v>1157980.22</v>
      </c>
      <c r="J10" s="145">
        <f t="shared" si="0"/>
        <v>15193893.101958942</v>
      </c>
      <c r="K10" s="145">
        <f t="shared" si="2"/>
        <v>351000</v>
      </c>
      <c r="L10" s="145">
        <f t="shared" si="3"/>
        <v>28961.10801203554</v>
      </c>
      <c r="M10" s="145">
        <v>6652836</v>
      </c>
      <c r="N10" s="145">
        <v>7495285</v>
      </c>
      <c r="O10" s="145">
        <v>8282138</v>
      </c>
      <c r="P10" s="145">
        <f t="shared" si="4"/>
        <v>8814000</v>
      </c>
      <c r="Q10" s="145">
        <f t="shared" si="5"/>
        <v>9165000</v>
      </c>
      <c r="R10" s="146"/>
    </row>
    <row r="11" spans="1:18" x14ac:dyDescent="0.2">
      <c r="A11" s="143" t="s">
        <v>69</v>
      </c>
      <c r="B11" s="144" t="s">
        <v>83</v>
      </c>
      <c r="C11" s="144" t="s">
        <v>83</v>
      </c>
      <c r="D11" s="145">
        <v>5441156.3700000001</v>
      </c>
      <c r="E11" s="145">
        <v>5874762.9700000025</v>
      </c>
      <c r="F11" s="145">
        <f t="shared" si="1"/>
        <v>6849911.3199999994</v>
      </c>
      <c r="G11" s="145">
        <v>3328364.6799999997</v>
      </c>
      <c r="H11" s="145">
        <v>2933158.1799999997</v>
      </c>
      <c r="I11" s="145">
        <v>588388.46</v>
      </c>
      <c r="J11" s="145">
        <f t="shared" si="0"/>
        <v>7771230.3616857948</v>
      </c>
      <c r="K11" s="145">
        <f t="shared" si="2"/>
        <v>180000</v>
      </c>
      <c r="L11" s="145">
        <f t="shared" si="3"/>
        <v>14715.606923834375</v>
      </c>
      <c r="M11" s="145">
        <v>1721082</v>
      </c>
      <c r="N11" s="145">
        <v>1875350</v>
      </c>
      <c r="O11" s="145">
        <v>2031296</v>
      </c>
      <c r="P11" s="145">
        <f t="shared" si="4"/>
        <v>2162000</v>
      </c>
      <c r="Q11" s="145">
        <f t="shared" si="5"/>
        <v>2342000</v>
      </c>
      <c r="R11" s="146"/>
    </row>
    <row r="12" spans="1:18" x14ac:dyDescent="0.2">
      <c r="A12" s="143" t="s">
        <v>69</v>
      </c>
      <c r="B12" s="144" t="s">
        <v>231</v>
      </c>
      <c r="C12" s="144" t="s">
        <v>82</v>
      </c>
      <c r="D12" s="145">
        <v>19869268.350000001</v>
      </c>
      <c r="E12" s="145">
        <v>21383292.32</v>
      </c>
      <c r="F12" s="145">
        <f t="shared" si="1"/>
        <v>25400138.380000003</v>
      </c>
      <c r="G12" s="145">
        <v>12292753.9</v>
      </c>
      <c r="H12" s="145">
        <v>10917032.880000001</v>
      </c>
      <c r="I12" s="145">
        <v>2190351.6</v>
      </c>
      <c r="J12" s="145">
        <f t="shared" si="0"/>
        <v>28816479.126284029</v>
      </c>
      <c r="K12" s="145">
        <f t="shared" si="2"/>
        <v>666000</v>
      </c>
      <c r="L12" s="145">
        <f t="shared" si="3"/>
        <v>54780.736472281773</v>
      </c>
      <c r="M12" s="145">
        <v>12650273</v>
      </c>
      <c r="N12" s="145">
        <v>14539911</v>
      </c>
      <c r="O12" s="145">
        <v>16141009</v>
      </c>
      <c r="P12" s="145">
        <f t="shared" si="4"/>
        <v>17177000</v>
      </c>
      <c r="Q12" s="145">
        <f t="shared" si="5"/>
        <v>17843000</v>
      </c>
      <c r="R12" s="146"/>
    </row>
    <row r="13" spans="1:18" x14ac:dyDescent="0.2">
      <c r="A13" s="143" t="s">
        <v>69</v>
      </c>
      <c r="B13" s="144" t="s">
        <v>68</v>
      </c>
      <c r="C13" s="144" t="s">
        <v>68</v>
      </c>
      <c r="D13" s="145">
        <v>24867404.299999997</v>
      </c>
      <c r="E13" s="145">
        <v>26880358.189999998</v>
      </c>
      <c r="F13" s="145">
        <f t="shared" si="1"/>
        <v>32119968.609999999</v>
      </c>
      <c r="G13" s="145">
        <v>15494328.189999999</v>
      </c>
      <c r="H13" s="145">
        <v>13836093.629999999</v>
      </c>
      <c r="I13" s="145">
        <v>2789546.79</v>
      </c>
      <c r="J13" s="145">
        <f t="shared" si="0"/>
        <v>36440132.378009632</v>
      </c>
      <c r="K13" s="145">
        <f t="shared" si="2"/>
        <v>842000</v>
      </c>
      <c r="L13" s="145">
        <f t="shared" si="3"/>
        <v>69766.619925353327</v>
      </c>
      <c r="M13" s="145">
        <v>13807747</v>
      </c>
      <c r="N13" s="145">
        <v>15492921</v>
      </c>
      <c r="O13" s="145">
        <v>16963615</v>
      </c>
      <c r="P13" s="145">
        <f t="shared" si="4"/>
        <v>18052000</v>
      </c>
      <c r="Q13" s="145">
        <f t="shared" si="5"/>
        <v>18894000</v>
      </c>
      <c r="R13" s="146"/>
    </row>
    <row r="14" spans="1:18" x14ac:dyDescent="0.2">
      <c r="A14" s="143" t="s">
        <v>69</v>
      </c>
      <c r="B14" s="144" t="s">
        <v>132</v>
      </c>
      <c r="C14" s="144" t="s">
        <v>73</v>
      </c>
      <c r="D14" s="145">
        <v>6546172.1900000013</v>
      </c>
      <c r="E14" s="145">
        <v>7076416.4800000014</v>
      </c>
      <c r="F14" s="145">
        <f t="shared" si="1"/>
        <v>8203307.1199999992</v>
      </c>
      <c r="G14" s="145">
        <v>3976644.6899999995</v>
      </c>
      <c r="H14" s="145">
        <v>3521132.8699999996</v>
      </c>
      <c r="I14" s="145">
        <v>705529.56</v>
      </c>
      <c r="J14" s="145">
        <f t="shared" si="0"/>
        <v>9306659.0761611871</v>
      </c>
      <c r="K14" s="145">
        <f t="shared" si="2"/>
        <v>215000</v>
      </c>
      <c r="L14" s="145">
        <f t="shared" si="3"/>
        <v>17645.308132157828</v>
      </c>
      <c r="M14" s="145">
        <v>5994401</v>
      </c>
      <c r="N14" s="145">
        <v>6778070</v>
      </c>
      <c r="O14" s="145">
        <v>7573192</v>
      </c>
      <c r="P14" s="145">
        <f t="shared" si="4"/>
        <v>8059000</v>
      </c>
      <c r="Q14" s="145">
        <f t="shared" si="5"/>
        <v>8274000</v>
      </c>
      <c r="R14" s="146"/>
    </row>
    <row r="15" spans="1:18" x14ac:dyDescent="0.2">
      <c r="A15" s="143" t="s">
        <v>69</v>
      </c>
      <c r="B15" s="144" t="s">
        <v>131</v>
      </c>
      <c r="C15" s="144" t="s">
        <v>76</v>
      </c>
      <c r="D15" s="145">
        <v>14156279.1</v>
      </c>
      <c r="E15" s="145">
        <v>15621337.149999995</v>
      </c>
      <c r="F15" s="145">
        <f t="shared" si="1"/>
        <v>18808913.059999999</v>
      </c>
      <c r="G15" s="145">
        <v>9042410.0099999998</v>
      </c>
      <c r="H15" s="145">
        <v>8129260.1399999997</v>
      </c>
      <c r="I15" s="145">
        <v>1637242.91</v>
      </c>
      <c r="J15" s="145">
        <f t="shared" si="0"/>
        <v>21338728.257022236</v>
      </c>
      <c r="K15" s="145">
        <f t="shared" si="2"/>
        <v>493000</v>
      </c>
      <c r="L15" s="145">
        <f t="shared" si="3"/>
        <v>40947.477288039845</v>
      </c>
      <c r="M15" s="145">
        <v>32040002</v>
      </c>
      <c r="N15" s="145">
        <v>37495778</v>
      </c>
      <c r="O15" s="145">
        <v>42376830</v>
      </c>
      <c r="P15" s="145">
        <f t="shared" si="4"/>
        <v>45096000</v>
      </c>
      <c r="Q15" s="145">
        <f t="shared" si="5"/>
        <v>45589000</v>
      </c>
      <c r="R15" s="146"/>
    </row>
    <row r="16" spans="1:18" x14ac:dyDescent="0.2">
      <c r="A16" s="143" t="s">
        <v>69</v>
      </c>
      <c r="B16" s="144" t="s">
        <v>130</v>
      </c>
      <c r="C16" s="144" t="s">
        <v>75</v>
      </c>
      <c r="D16" s="145">
        <v>11972166.709999999</v>
      </c>
      <c r="E16" s="145">
        <v>13283676.969999999</v>
      </c>
      <c r="F16" s="145">
        <f t="shared" si="1"/>
        <v>15782801.440000001</v>
      </c>
      <c r="G16" s="145">
        <v>7634982.5500000007</v>
      </c>
      <c r="H16" s="145">
        <v>6785663.5099999998</v>
      </c>
      <c r="I16" s="145">
        <v>1362155.38</v>
      </c>
      <c r="J16" s="145">
        <f t="shared" si="0"/>
        <v>17905601.987119783</v>
      </c>
      <c r="K16" s="145">
        <f t="shared" si="2"/>
        <v>414000</v>
      </c>
      <c r="L16" s="145">
        <f t="shared" si="3"/>
        <v>34067.532767835459</v>
      </c>
      <c r="M16" s="145">
        <v>14413526</v>
      </c>
      <c r="N16" s="145">
        <v>16445354</v>
      </c>
      <c r="O16" s="145">
        <v>18923443</v>
      </c>
      <c r="P16" s="145">
        <f t="shared" si="4"/>
        <v>20138000</v>
      </c>
      <c r="Q16" s="145">
        <f t="shared" si="5"/>
        <v>20552000</v>
      </c>
      <c r="R16" s="146"/>
    </row>
    <row r="17" spans="1:18" x14ac:dyDescent="0.2">
      <c r="A17" s="143" t="s">
        <v>69</v>
      </c>
      <c r="B17" s="144" t="s">
        <v>129</v>
      </c>
      <c r="C17" s="144" t="s">
        <v>80</v>
      </c>
      <c r="D17" s="145">
        <v>27977786.630000003</v>
      </c>
      <c r="E17" s="145">
        <v>30229423.480000004</v>
      </c>
      <c r="F17" s="145">
        <f t="shared" si="1"/>
        <v>35709216.990000002</v>
      </c>
      <c r="G17" s="145">
        <v>17261205.050000001</v>
      </c>
      <c r="H17" s="145">
        <v>15371484.18</v>
      </c>
      <c r="I17" s="145">
        <v>3076527.76</v>
      </c>
      <c r="J17" s="145">
        <f t="shared" si="0"/>
        <v>40512137.792860396</v>
      </c>
      <c r="K17" s="145">
        <f t="shared" si="2"/>
        <v>936000</v>
      </c>
      <c r="L17" s="145">
        <f t="shared" si="3"/>
        <v>76944.019613206998</v>
      </c>
      <c r="M17" s="145">
        <v>30649764</v>
      </c>
      <c r="N17" s="145">
        <v>35202307</v>
      </c>
      <c r="O17" s="145">
        <v>40146902</v>
      </c>
      <c r="P17" s="145">
        <f t="shared" si="4"/>
        <v>42723000</v>
      </c>
      <c r="Q17" s="145">
        <f t="shared" si="5"/>
        <v>43659000</v>
      </c>
      <c r="R17" s="146"/>
    </row>
    <row r="18" spans="1:18" x14ac:dyDescent="0.2">
      <c r="A18" s="143" t="s">
        <v>69</v>
      </c>
      <c r="B18" s="144" t="s">
        <v>213</v>
      </c>
      <c r="C18" s="144" t="s">
        <v>72</v>
      </c>
      <c r="D18" s="145">
        <v>637253760.06999993</v>
      </c>
      <c r="E18" s="145">
        <v>677126371.31999993</v>
      </c>
      <c r="F18" s="145">
        <f t="shared" si="1"/>
        <v>783601431.29999995</v>
      </c>
      <c r="G18" s="145">
        <v>379769722.59999996</v>
      </c>
      <c r="H18" s="145">
        <v>336395760.30000001</v>
      </c>
      <c r="I18" s="145">
        <v>67435948.400000006</v>
      </c>
      <c r="J18" s="145">
        <f t="shared" si="0"/>
        <v>888996506.65535998</v>
      </c>
      <c r="K18" s="145">
        <f t="shared" si="2"/>
        <v>20547000</v>
      </c>
      <c r="L18" s="145">
        <f t="shared" si="3"/>
        <v>1686574.3920103018</v>
      </c>
      <c r="M18" s="145">
        <v>528080928</v>
      </c>
      <c r="N18" s="145">
        <v>598392598</v>
      </c>
      <c r="O18" s="145">
        <v>662445120</v>
      </c>
      <c r="P18" s="145">
        <f t="shared" si="4"/>
        <v>704946000</v>
      </c>
      <c r="Q18" s="145">
        <f t="shared" si="5"/>
        <v>725493000</v>
      </c>
      <c r="R18" s="146"/>
    </row>
    <row r="19" spans="1:18" x14ac:dyDescent="0.2">
      <c r="A19" s="143" t="s">
        <v>69</v>
      </c>
      <c r="B19" s="144" t="s">
        <v>128</v>
      </c>
      <c r="C19" s="144" t="s">
        <v>70</v>
      </c>
      <c r="D19" s="145">
        <v>24395370.619999997</v>
      </c>
      <c r="E19" s="145">
        <v>26917938.829999991</v>
      </c>
      <c r="F19" s="145">
        <f t="shared" si="1"/>
        <v>32097041.420000002</v>
      </c>
      <c r="G19" s="145">
        <v>15486989.110000001</v>
      </c>
      <c r="H19" s="145">
        <v>13823715.73</v>
      </c>
      <c r="I19" s="145">
        <v>2786336.58</v>
      </c>
      <c r="J19" s="145">
        <f t="shared" si="0"/>
        <v>36414121.460975431</v>
      </c>
      <c r="K19" s="145">
        <f t="shared" si="2"/>
        <v>841000</v>
      </c>
      <c r="L19" s="145">
        <f t="shared" si="3"/>
        <v>69686.332510295993</v>
      </c>
      <c r="M19" s="145">
        <v>30941183</v>
      </c>
      <c r="N19" s="145">
        <v>35735996</v>
      </c>
      <c r="O19" s="145">
        <v>39883247</v>
      </c>
      <c r="P19" s="145">
        <f t="shared" si="4"/>
        <v>42442000</v>
      </c>
      <c r="Q19" s="145">
        <f t="shared" si="5"/>
        <v>43283000</v>
      </c>
      <c r="R19" s="146"/>
    </row>
    <row r="20" spans="1:18" x14ac:dyDescent="0.2">
      <c r="A20" s="143" t="s">
        <v>67</v>
      </c>
      <c r="B20" s="144" t="s">
        <v>217</v>
      </c>
      <c r="C20" s="144" t="s">
        <v>66</v>
      </c>
      <c r="D20" s="145">
        <v>17204625.559999999</v>
      </c>
      <c r="E20" s="145">
        <v>18807209.159999996</v>
      </c>
      <c r="F20" s="145">
        <f t="shared" si="1"/>
        <v>22364220.370000001</v>
      </c>
      <c r="G20" s="145">
        <v>10814416.639999999</v>
      </c>
      <c r="H20" s="145">
        <v>9616753.7100000009</v>
      </c>
      <c r="I20" s="145">
        <v>1933050.02</v>
      </c>
      <c r="J20" s="145">
        <f t="shared" si="0"/>
        <v>25372227.498381093</v>
      </c>
      <c r="K20" s="145">
        <f t="shared" si="2"/>
        <v>586000</v>
      </c>
      <c r="L20" s="145">
        <f t="shared" si="3"/>
        <v>48345.618910388177</v>
      </c>
      <c r="M20" s="145">
        <v>10138012</v>
      </c>
      <c r="N20" s="145">
        <v>11329501</v>
      </c>
      <c r="O20" s="145">
        <v>12754249</v>
      </c>
      <c r="P20" s="145">
        <f t="shared" si="4"/>
        <v>13573000</v>
      </c>
      <c r="Q20" s="145">
        <f t="shared" si="5"/>
        <v>14159000</v>
      </c>
      <c r="R20" s="146"/>
    </row>
    <row r="21" spans="1:18" x14ac:dyDescent="0.2">
      <c r="A21" s="143" t="s">
        <v>58</v>
      </c>
      <c r="B21" s="144" t="s">
        <v>218</v>
      </c>
      <c r="C21" s="144" t="s">
        <v>65</v>
      </c>
      <c r="D21" s="145">
        <v>8552371.7699999996</v>
      </c>
      <c r="E21" s="145">
        <v>9183358.1899999995</v>
      </c>
      <c r="F21" s="145">
        <f t="shared" si="1"/>
        <v>10788430.09</v>
      </c>
      <c r="G21" s="145">
        <v>5200923.49</v>
      </c>
      <c r="H21" s="145">
        <v>4653061.9400000004</v>
      </c>
      <c r="I21" s="145">
        <v>934444.66</v>
      </c>
      <c r="J21" s="145">
        <f t="shared" si="0"/>
        <v>12239483.338352563</v>
      </c>
      <c r="K21" s="145">
        <f t="shared" si="2"/>
        <v>283000</v>
      </c>
      <c r="L21" s="145">
        <f t="shared" si="3"/>
        <v>23370.47927254736</v>
      </c>
      <c r="M21" s="145">
        <v>3746091</v>
      </c>
      <c r="N21" s="145">
        <v>4145540</v>
      </c>
      <c r="O21" s="145">
        <v>4651376</v>
      </c>
      <c r="P21" s="145">
        <f t="shared" si="4"/>
        <v>4950000</v>
      </c>
      <c r="Q21" s="145">
        <f t="shared" si="5"/>
        <v>5233000</v>
      </c>
      <c r="R21" s="146"/>
    </row>
    <row r="22" spans="1:18" x14ac:dyDescent="0.2">
      <c r="A22" s="143" t="s">
        <v>58</v>
      </c>
      <c r="B22" s="144" t="s">
        <v>127</v>
      </c>
      <c r="C22" s="144" t="s">
        <v>60</v>
      </c>
      <c r="D22" s="145">
        <v>23863496.180000003</v>
      </c>
      <c r="E22" s="145">
        <v>25097373.490000002</v>
      </c>
      <c r="F22" s="145">
        <f t="shared" si="1"/>
        <v>29042352.09</v>
      </c>
      <c r="G22" s="145">
        <v>14065015.959999999</v>
      </c>
      <c r="H22" s="145">
        <v>12476563.610000001</v>
      </c>
      <c r="I22" s="145">
        <v>2500772.52</v>
      </c>
      <c r="J22" s="145">
        <f t="shared" si="0"/>
        <v>32948573.754174806</v>
      </c>
      <c r="K22" s="145">
        <f t="shared" si="2"/>
        <v>762000</v>
      </c>
      <c r="L22" s="145">
        <f t="shared" si="3"/>
        <v>62544.36976933018</v>
      </c>
      <c r="M22" s="145">
        <v>9449224</v>
      </c>
      <c r="N22" s="145">
        <v>10496432</v>
      </c>
      <c r="O22" s="145">
        <v>11713870</v>
      </c>
      <c r="P22" s="145">
        <f t="shared" si="4"/>
        <v>12465000</v>
      </c>
      <c r="Q22" s="145">
        <f t="shared" si="5"/>
        <v>13227000</v>
      </c>
      <c r="R22" s="146"/>
    </row>
    <row r="23" spans="1:18" x14ac:dyDescent="0.2">
      <c r="A23" s="143" t="s">
        <v>58</v>
      </c>
      <c r="B23" s="144" t="s">
        <v>57</v>
      </c>
      <c r="C23" s="144" t="s">
        <v>57</v>
      </c>
      <c r="D23" s="145">
        <v>67632614.659999996</v>
      </c>
      <c r="E23" s="145">
        <v>71330515.99000001</v>
      </c>
      <c r="F23" s="145">
        <f t="shared" si="1"/>
        <v>82524301.379999995</v>
      </c>
      <c r="G23" s="145">
        <v>40001322.109999999</v>
      </c>
      <c r="H23" s="145">
        <v>35428259.560000002</v>
      </c>
      <c r="I23" s="145">
        <v>7094719.71</v>
      </c>
      <c r="J23" s="145">
        <f t="shared" si="0"/>
        <v>93623891.828889385</v>
      </c>
      <c r="K23" s="145">
        <f t="shared" si="2"/>
        <v>2164000</v>
      </c>
      <c r="L23" s="145">
        <f t="shared" si="3"/>
        <v>177439.07908584783</v>
      </c>
      <c r="M23" s="145">
        <v>22427134</v>
      </c>
      <c r="N23" s="145">
        <v>24223219</v>
      </c>
      <c r="O23" s="145">
        <v>26114332</v>
      </c>
      <c r="P23" s="145">
        <f t="shared" si="4"/>
        <v>27790000</v>
      </c>
      <c r="Q23" s="145">
        <f t="shared" si="5"/>
        <v>29954000</v>
      </c>
      <c r="R23" s="146"/>
    </row>
    <row r="24" spans="1:18" x14ac:dyDescent="0.2">
      <c r="A24" s="143" t="s">
        <v>58</v>
      </c>
      <c r="B24" s="144" t="s">
        <v>126</v>
      </c>
      <c r="C24" s="144" t="s">
        <v>63</v>
      </c>
      <c r="D24" s="145">
        <v>18485338.52</v>
      </c>
      <c r="E24" s="145">
        <v>19515209.689999998</v>
      </c>
      <c r="F24" s="145">
        <f t="shared" si="1"/>
        <v>22532991.109999996</v>
      </c>
      <c r="G24" s="145">
        <v>10941743.359999999</v>
      </c>
      <c r="H24" s="145">
        <v>9666601.3699999992</v>
      </c>
      <c r="I24" s="145">
        <v>1924646.38</v>
      </c>
      <c r="J24" s="145">
        <f t="shared" si="0"/>
        <v>25563698.049981188</v>
      </c>
      <c r="K24" s="145">
        <f t="shared" si="2"/>
        <v>591000</v>
      </c>
      <c r="L24" s="145">
        <f t="shared" si="3"/>
        <v>48135.443709179424</v>
      </c>
      <c r="M24" s="145">
        <v>5850022</v>
      </c>
      <c r="N24" s="145">
        <v>6282428</v>
      </c>
      <c r="O24" s="145">
        <v>6831176</v>
      </c>
      <c r="P24" s="145">
        <f t="shared" si="4"/>
        <v>7269000</v>
      </c>
      <c r="Q24" s="145">
        <f t="shared" si="5"/>
        <v>7860000</v>
      </c>
      <c r="R24" s="146"/>
    </row>
    <row r="25" spans="1:18" x14ac:dyDescent="0.2">
      <c r="A25" s="143" t="s">
        <v>58</v>
      </c>
      <c r="B25" s="144" t="s">
        <v>59</v>
      </c>
      <c r="C25" s="144" t="s">
        <v>59</v>
      </c>
      <c r="D25" s="145">
        <v>101118209.56</v>
      </c>
      <c r="E25" s="145">
        <v>106848280.61000001</v>
      </c>
      <c r="F25" s="145">
        <f t="shared" si="1"/>
        <v>124795488.89</v>
      </c>
      <c r="G25" s="145">
        <v>60463313.480000004</v>
      </c>
      <c r="H25" s="145">
        <v>53605319.25</v>
      </c>
      <c r="I25" s="145">
        <v>10726856.16</v>
      </c>
      <c r="J25" s="145">
        <f t="shared" si="0"/>
        <v>141580590.89491838</v>
      </c>
      <c r="K25" s="145">
        <f t="shared" si="2"/>
        <v>3273000</v>
      </c>
      <c r="L25" s="145">
        <f t="shared" si="3"/>
        <v>268278.88293232577</v>
      </c>
      <c r="M25" s="145">
        <v>31335618</v>
      </c>
      <c r="N25" s="145">
        <v>35035817</v>
      </c>
      <c r="O25" s="145">
        <v>37340737</v>
      </c>
      <c r="P25" s="145">
        <f t="shared" si="4"/>
        <v>39736000</v>
      </c>
      <c r="Q25" s="145">
        <f t="shared" si="5"/>
        <v>43009000</v>
      </c>
      <c r="R25" s="146"/>
    </row>
    <row r="26" spans="1:18" x14ac:dyDescent="0.2">
      <c r="A26" s="143" t="s">
        <v>58</v>
      </c>
      <c r="B26" s="144" t="s">
        <v>62</v>
      </c>
      <c r="C26" s="144" t="s">
        <v>62</v>
      </c>
      <c r="D26" s="145">
        <v>8966784.1900000013</v>
      </c>
      <c r="E26" s="145">
        <v>9809280.9400000013</v>
      </c>
      <c r="F26" s="145">
        <f t="shared" si="1"/>
        <v>11590965.66</v>
      </c>
      <c r="G26" s="145">
        <v>5594540.1800000006</v>
      </c>
      <c r="H26" s="145">
        <v>4994559.46</v>
      </c>
      <c r="I26" s="145">
        <v>1001866.02</v>
      </c>
      <c r="J26" s="145">
        <f t="shared" si="0"/>
        <v>13149960.641862649</v>
      </c>
      <c r="K26" s="145">
        <f t="shared" si="2"/>
        <v>304000</v>
      </c>
      <c r="L26" s="145">
        <f t="shared" si="3"/>
        <v>25056.68880838756</v>
      </c>
      <c r="M26" s="145">
        <v>3091304</v>
      </c>
      <c r="N26" s="145">
        <v>3456566</v>
      </c>
      <c r="O26" s="145">
        <v>3865070</v>
      </c>
      <c r="P26" s="145">
        <f t="shared" si="4"/>
        <v>4113000</v>
      </c>
      <c r="Q26" s="145">
        <f t="shared" si="5"/>
        <v>4417000</v>
      </c>
      <c r="R26" s="146"/>
    </row>
    <row r="27" spans="1:18" x14ac:dyDescent="0.2">
      <c r="A27" s="143" t="s">
        <v>58</v>
      </c>
      <c r="B27" s="144" t="s">
        <v>61</v>
      </c>
      <c r="C27" s="144" t="s">
        <v>61</v>
      </c>
      <c r="D27" s="145">
        <v>27952334.43</v>
      </c>
      <c r="E27" s="145">
        <v>29547496.800000004</v>
      </c>
      <c r="F27" s="145">
        <f t="shared" si="1"/>
        <v>34134091.609999999</v>
      </c>
      <c r="G27" s="145">
        <v>16563645.309999999</v>
      </c>
      <c r="H27" s="145">
        <v>14645920.119999999</v>
      </c>
      <c r="I27" s="145">
        <v>2924526.18</v>
      </c>
      <c r="J27" s="145">
        <f t="shared" si="0"/>
        <v>38725156.676655538</v>
      </c>
      <c r="K27" s="145">
        <f t="shared" si="2"/>
        <v>895000</v>
      </c>
      <c r="L27" s="145">
        <f t="shared" si="3"/>
        <v>73142.457116414036</v>
      </c>
      <c r="M27" s="145">
        <v>8138905</v>
      </c>
      <c r="N27" s="145">
        <v>8609979</v>
      </c>
      <c r="O27" s="145">
        <v>9207512</v>
      </c>
      <c r="P27" s="145">
        <f t="shared" si="4"/>
        <v>9798000</v>
      </c>
      <c r="Q27" s="145">
        <f t="shared" si="5"/>
        <v>10693000</v>
      </c>
      <c r="R27" s="146"/>
    </row>
    <row r="28" spans="1:18" x14ac:dyDescent="0.2">
      <c r="A28" s="143" t="s">
        <v>58</v>
      </c>
      <c r="B28" s="144" t="s">
        <v>64</v>
      </c>
      <c r="C28" s="144" t="s">
        <v>294</v>
      </c>
      <c r="D28" s="145">
        <v>8685991.1999999993</v>
      </c>
      <c r="E28" s="145">
        <v>9425614.5600000005</v>
      </c>
      <c r="F28" s="145">
        <f t="shared" si="1"/>
        <v>11002870.65</v>
      </c>
      <c r="G28" s="145">
        <v>5313070.9000000004</v>
      </c>
      <c r="H28" s="145">
        <v>4739127.92</v>
      </c>
      <c r="I28" s="145">
        <v>950671.83</v>
      </c>
      <c r="J28" s="145">
        <f t="shared" si="0"/>
        <v>12482766.340540234</v>
      </c>
      <c r="K28" s="145">
        <f t="shared" si="2"/>
        <v>288000</v>
      </c>
      <c r="L28" s="145">
        <f t="shared" si="3"/>
        <v>23776.321112487993</v>
      </c>
      <c r="M28" s="145">
        <v>4483232</v>
      </c>
      <c r="N28" s="145">
        <v>4857361</v>
      </c>
      <c r="O28" s="145">
        <v>5440498</v>
      </c>
      <c r="P28" s="145">
        <f t="shared" si="4"/>
        <v>5790000</v>
      </c>
      <c r="Q28" s="145">
        <f t="shared" si="5"/>
        <v>6078000</v>
      </c>
      <c r="R28" s="146"/>
    </row>
    <row r="29" spans="1:18" x14ac:dyDescent="0.2">
      <c r="A29" s="143" t="s">
        <v>55</v>
      </c>
      <c r="B29" s="144" t="s">
        <v>125</v>
      </c>
      <c r="C29" s="144" t="s">
        <v>55</v>
      </c>
      <c r="D29" s="145">
        <v>24338302.160000004</v>
      </c>
      <c r="E29" s="145">
        <v>25677784.020000003</v>
      </c>
      <c r="F29" s="145">
        <f t="shared" si="1"/>
        <v>29558136.979999997</v>
      </c>
      <c r="G29" s="145">
        <v>14340249.119999999</v>
      </c>
      <c r="H29" s="145">
        <v>12682627.079999998</v>
      </c>
      <c r="I29" s="145">
        <v>2535260.7799999998</v>
      </c>
      <c r="J29" s="145">
        <f t="shared" si="0"/>
        <v>33533732.161344778</v>
      </c>
      <c r="K29" s="145">
        <f t="shared" si="2"/>
        <v>775000</v>
      </c>
      <c r="L29" s="145">
        <f t="shared" si="3"/>
        <v>63406.921828299855</v>
      </c>
      <c r="M29" s="145">
        <v>10884287</v>
      </c>
      <c r="N29" s="145">
        <v>11972035</v>
      </c>
      <c r="O29" s="145">
        <v>12803044</v>
      </c>
      <c r="P29" s="145">
        <f t="shared" si="4"/>
        <v>13624000</v>
      </c>
      <c r="Q29" s="145">
        <f t="shared" si="5"/>
        <v>14399000</v>
      </c>
      <c r="R29" s="146"/>
    </row>
    <row r="30" spans="1:18" x14ac:dyDescent="0.2">
      <c r="A30" s="143" t="s">
        <v>55</v>
      </c>
      <c r="B30" s="144" t="s">
        <v>219</v>
      </c>
      <c r="C30" s="144" t="s">
        <v>54</v>
      </c>
      <c r="D30" s="145">
        <v>10124516.27</v>
      </c>
      <c r="E30" s="145">
        <v>10638313.4</v>
      </c>
      <c r="F30" s="145">
        <f t="shared" si="1"/>
        <v>12266852.68</v>
      </c>
      <c r="G30" s="145">
        <v>5960206.2000000002</v>
      </c>
      <c r="H30" s="145">
        <v>5255171.53</v>
      </c>
      <c r="I30" s="145">
        <v>1051474.95</v>
      </c>
      <c r="J30" s="145">
        <f t="shared" si="0"/>
        <v>13916755.055033728</v>
      </c>
      <c r="K30" s="145">
        <f t="shared" si="2"/>
        <v>322000</v>
      </c>
      <c r="L30" s="145">
        <f t="shared" si="3"/>
        <v>26297.409120597647</v>
      </c>
      <c r="M30" s="145">
        <v>3508016</v>
      </c>
      <c r="N30" s="145">
        <v>3915937</v>
      </c>
      <c r="O30" s="145">
        <v>4249931</v>
      </c>
      <c r="P30" s="145">
        <f t="shared" si="4"/>
        <v>4523000</v>
      </c>
      <c r="Q30" s="145">
        <f t="shared" si="5"/>
        <v>4845000</v>
      </c>
      <c r="R30" s="146"/>
    </row>
    <row r="31" spans="1:18" x14ac:dyDescent="0.2">
      <c r="A31" s="143" t="s">
        <v>55</v>
      </c>
      <c r="B31" s="144" t="s">
        <v>124</v>
      </c>
      <c r="C31" s="144" t="s">
        <v>56</v>
      </c>
      <c r="D31" s="145">
        <v>18083785.509999998</v>
      </c>
      <c r="E31" s="145">
        <v>18890789.930000007</v>
      </c>
      <c r="F31" s="145">
        <f t="shared" si="1"/>
        <v>21561200.309999999</v>
      </c>
      <c r="G31" s="145">
        <v>10500744.969999999</v>
      </c>
      <c r="H31" s="145">
        <v>9215673.0500000007</v>
      </c>
      <c r="I31" s="145">
        <v>1844782.29</v>
      </c>
      <c r="J31" s="145">
        <f t="shared" si="0"/>
        <v>24461200.54054381</v>
      </c>
      <c r="K31" s="145">
        <f t="shared" si="2"/>
        <v>566000</v>
      </c>
      <c r="L31" s="145">
        <f t="shared" si="3"/>
        <v>46138.04125201748</v>
      </c>
      <c r="M31" s="145">
        <v>8014920</v>
      </c>
      <c r="N31" s="145">
        <v>8677042</v>
      </c>
      <c r="O31" s="145">
        <v>9349772</v>
      </c>
      <c r="P31" s="145">
        <f t="shared" si="4"/>
        <v>9950000</v>
      </c>
      <c r="Q31" s="145">
        <f t="shared" si="5"/>
        <v>10516000</v>
      </c>
      <c r="R31" s="146"/>
    </row>
    <row r="32" spans="1:18" x14ac:dyDescent="0.2">
      <c r="A32" s="143" t="s">
        <v>52</v>
      </c>
      <c r="B32" s="144" t="s">
        <v>220</v>
      </c>
      <c r="C32" s="144" t="s">
        <v>52</v>
      </c>
      <c r="D32" s="145">
        <v>14788353.239999998</v>
      </c>
      <c r="E32" s="145">
        <v>15570787.749999996</v>
      </c>
      <c r="F32" s="145">
        <f t="shared" si="1"/>
        <v>18117966.780000001</v>
      </c>
      <c r="G32" s="145">
        <v>8779895.6799999997</v>
      </c>
      <c r="H32" s="145">
        <v>7769997.2599999998</v>
      </c>
      <c r="I32" s="145">
        <v>1568073.84</v>
      </c>
      <c r="J32" s="145">
        <f t="shared" si="0"/>
        <v>20554849.100258224</v>
      </c>
      <c r="K32" s="145">
        <f t="shared" si="2"/>
        <v>475000</v>
      </c>
      <c r="L32" s="145">
        <f t="shared" si="3"/>
        <v>39217.557490824278</v>
      </c>
      <c r="M32" s="145">
        <v>7630830</v>
      </c>
      <c r="N32" s="145">
        <v>8311468</v>
      </c>
      <c r="O32" s="145">
        <v>8894259</v>
      </c>
      <c r="P32" s="145">
        <f t="shared" si="4"/>
        <v>9465000</v>
      </c>
      <c r="Q32" s="145">
        <f t="shared" si="5"/>
        <v>9940000</v>
      </c>
      <c r="R32" s="146"/>
    </row>
    <row r="33" spans="1:18" x14ac:dyDescent="0.2">
      <c r="A33" s="143" t="s">
        <v>52</v>
      </c>
      <c r="B33" s="144" t="s">
        <v>51</v>
      </c>
      <c r="C33" s="144" t="s">
        <v>51</v>
      </c>
      <c r="D33" s="145">
        <v>18949187.790000003</v>
      </c>
      <c r="E33" s="145">
        <v>19928016.529999997</v>
      </c>
      <c r="F33" s="145">
        <f t="shared" si="1"/>
        <v>23072972.48</v>
      </c>
      <c r="G33" s="145">
        <v>11176316.950000001</v>
      </c>
      <c r="H33" s="145">
        <v>9904093.4199999999</v>
      </c>
      <c r="I33" s="145">
        <v>1992562.11</v>
      </c>
      <c r="J33" s="145">
        <f t="shared" si="0"/>
        <v>26176307.384796452</v>
      </c>
      <c r="K33" s="145">
        <f t="shared" si="2"/>
        <v>605000</v>
      </c>
      <c r="L33" s="145">
        <f t="shared" si="3"/>
        <v>49834.017448415005</v>
      </c>
      <c r="M33" s="145">
        <v>9556093</v>
      </c>
      <c r="N33" s="145">
        <v>10359413</v>
      </c>
      <c r="O33" s="145">
        <v>11373723</v>
      </c>
      <c r="P33" s="145">
        <f t="shared" si="4"/>
        <v>12103000</v>
      </c>
      <c r="Q33" s="145">
        <f t="shared" si="5"/>
        <v>12708000</v>
      </c>
      <c r="R33" s="146"/>
    </row>
    <row r="34" spans="1:18" x14ac:dyDescent="0.2">
      <c r="A34" s="143" t="s">
        <v>52</v>
      </c>
      <c r="B34" s="144" t="s">
        <v>123</v>
      </c>
      <c r="C34" s="144" t="s">
        <v>53</v>
      </c>
      <c r="D34" s="145">
        <v>20259362.540000003</v>
      </c>
      <c r="E34" s="145">
        <v>21452093.330000002</v>
      </c>
      <c r="F34" s="145">
        <f t="shared" si="1"/>
        <v>24915042.960000001</v>
      </c>
      <c r="G34" s="145">
        <v>12083604.579999998</v>
      </c>
      <c r="H34" s="145">
        <v>10685008.74</v>
      </c>
      <c r="I34" s="145">
        <v>2146429.64</v>
      </c>
      <c r="J34" s="145">
        <f t="shared" si="0"/>
        <v>28266137.949572451</v>
      </c>
      <c r="K34" s="145">
        <f t="shared" si="2"/>
        <v>653000</v>
      </c>
      <c r="L34" s="145">
        <f t="shared" si="3"/>
        <v>53682.247391302219</v>
      </c>
      <c r="M34" s="145">
        <v>9040551</v>
      </c>
      <c r="N34" s="145">
        <v>10004321</v>
      </c>
      <c r="O34" s="145">
        <v>10830188</v>
      </c>
      <c r="P34" s="145">
        <f t="shared" si="4"/>
        <v>11525000</v>
      </c>
      <c r="Q34" s="145">
        <f t="shared" si="5"/>
        <v>12178000</v>
      </c>
      <c r="R34" s="146"/>
    </row>
    <row r="35" spans="1:18" x14ac:dyDescent="0.2">
      <c r="A35" s="143" t="s">
        <v>47</v>
      </c>
      <c r="B35" s="144" t="s">
        <v>48</v>
      </c>
      <c r="C35" s="144" t="s">
        <v>48</v>
      </c>
      <c r="D35" s="145">
        <v>24755971.390000001</v>
      </c>
      <c r="E35" s="145">
        <v>26678247.059999995</v>
      </c>
      <c r="F35" s="145">
        <f t="shared" si="1"/>
        <v>30983490.93</v>
      </c>
      <c r="G35" s="145">
        <v>15026883.43</v>
      </c>
      <c r="H35" s="145">
        <v>13308029.99</v>
      </c>
      <c r="I35" s="145">
        <v>2648577.5099999998</v>
      </c>
      <c r="J35" s="145">
        <f t="shared" si="0"/>
        <v>35150797.459700905</v>
      </c>
      <c r="K35" s="145">
        <f t="shared" si="2"/>
        <v>813000</v>
      </c>
      <c r="L35" s="145">
        <f t="shared" si="3"/>
        <v>66240.975467921322</v>
      </c>
      <c r="M35" s="145">
        <v>10872528</v>
      </c>
      <c r="N35" s="145">
        <v>12003630</v>
      </c>
      <c r="O35" s="145">
        <v>13121767</v>
      </c>
      <c r="P35" s="145">
        <f t="shared" si="4"/>
        <v>13964000</v>
      </c>
      <c r="Q35" s="145">
        <f t="shared" si="5"/>
        <v>14777000</v>
      </c>
      <c r="R35" s="146"/>
    </row>
    <row r="36" spans="1:18" x14ac:dyDescent="0.2">
      <c r="A36" s="143" t="s">
        <v>47</v>
      </c>
      <c r="B36" s="144" t="s">
        <v>122</v>
      </c>
      <c r="C36" s="144" t="s">
        <v>50</v>
      </c>
      <c r="D36" s="145">
        <v>12267892.890000002</v>
      </c>
      <c r="E36" s="145">
        <v>13123711.309999999</v>
      </c>
      <c r="F36" s="145">
        <f t="shared" si="1"/>
        <v>15459413.620000001</v>
      </c>
      <c r="G36" s="145">
        <v>7492016.3700000001</v>
      </c>
      <c r="H36" s="145">
        <v>6639262.0899999999</v>
      </c>
      <c r="I36" s="145">
        <v>1328135.1599999999</v>
      </c>
      <c r="J36" s="145">
        <f t="shared" si="0"/>
        <v>17538718.223523356</v>
      </c>
      <c r="K36" s="145">
        <f t="shared" si="2"/>
        <v>405000</v>
      </c>
      <c r="L36" s="145">
        <f t="shared" si="3"/>
        <v>33216.686398444792</v>
      </c>
      <c r="M36" s="145">
        <v>6105510</v>
      </c>
      <c r="N36" s="145">
        <v>6783856</v>
      </c>
      <c r="O36" s="145">
        <v>7399427</v>
      </c>
      <c r="P36" s="145">
        <f t="shared" si="4"/>
        <v>7874000</v>
      </c>
      <c r="Q36" s="145">
        <f t="shared" si="5"/>
        <v>8279000</v>
      </c>
      <c r="R36" s="146"/>
    </row>
    <row r="37" spans="1:18" x14ac:dyDescent="0.2">
      <c r="A37" s="143" t="s">
        <v>47</v>
      </c>
      <c r="B37" s="144" t="s">
        <v>121</v>
      </c>
      <c r="C37" s="144" t="s">
        <v>46</v>
      </c>
      <c r="D37" s="145">
        <v>778763.92</v>
      </c>
      <c r="E37" s="145">
        <v>855686.84</v>
      </c>
      <c r="F37" s="145">
        <f t="shared" si="1"/>
        <v>1013682.27</v>
      </c>
      <c r="G37" s="145">
        <v>490274.28</v>
      </c>
      <c r="H37" s="145">
        <v>435419.98000000004</v>
      </c>
      <c r="I37" s="145">
        <v>87988.01</v>
      </c>
      <c r="J37" s="145">
        <f t="shared" si="0"/>
        <v>1150023.4186574225</v>
      </c>
      <c r="K37" s="145">
        <f t="shared" si="2"/>
        <v>27000</v>
      </c>
      <c r="L37" s="145">
        <f t="shared" si="3"/>
        <v>2200.5818556849467</v>
      </c>
      <c r="M37" s="145">
        <v>491352</v>
      </c>
      <c r="N37" s="145">
        <v>588104</v>
      </c>
      <c r="O37" s="145">
        <v>649163</v>
      </c>
      <c r="P37" s="145">
        <f t="shared" si="4"/>
        <v>691000</v>
      </c>
      <c r="Q37" s="145">
        <f t="shared" si="5"/>
        <v>718000</v>
      </c>
      <c r="R37" s="146"/>
    </row>
    <row r="38" spans="1:18" x14ac:dyDescent="0.2">
      <c r="A38" s="143" t="s">
        <v>38</v>
      </c>
      <c r="B38" s="144" t="s">
        <v>120</v>
      </c>
      <c r="C38" s="144" t="s">
        <v>43</v>
      </c>
      <c r="D38" s="145">
        <v>7713809.1400000006</v>
      </c>
      <c r="E38" s="145">
        <v>8241167.2800000003</v>
      </c>
      <c r="F38" s="145">
        <f t="shared" si="1"/>
        <v>9664058.25</v>
      </c>
      <c r="G38" s="145">
        <v>4665127.9700000007</v>
      </c>
      <c r="H38" s="145">
        <v>4162585.71</v>
      </c>
      <c r="I38" s="145">
        <v>836344.57</v>
      </c>
      <c r="J38" s="145">
        <f t="shared" si="0"/>
        <v>10963882.5060731</v>
      </c>
      <c r="K38" s="145">
        <f t="shared" si="2"/>
        <v>253000</v>
      </c>
      <c r="L38" s="145">
        <f t="shared" si="3"/>
        <v>20916.994097748422</v>
      </c>
      <c r="M38" s="145">
        <v>4269132</v>
      </c>
      <c r="N38" s="145">
        <v>4794793</v>
      </c>
      <c r="O38" s="145">
        <v>5201212</v>
      </c>
      <c r="P38" s="145">
        <f t="shared" si="4"/>
        <v>5535000</v>
      </c>
      <c r="Q38" s="145">
        <f t="shared" si="5"/>
        <v>5788000</v>
      </c>
      <c r="R38" s="146"/>
    </row>
    <row r="39" spans="1:18" x14ac:dyDescent="0.2">
      <c r="A39" s="143" t="s">
        <v>38</v>
      </c>
      <c r="B39" s="144" t="s">
        <v>119</v>
      </c>
      <c r="C39" s="144" t="s">
        <v>40</v>
      </c>
      <c r="D39" s="145">
        <v>7156368.8899999997</v>
      </c>
      <c r="E39" s="145">
        <v>7710548.6400000025</v>
      </c>
      <c r="F39" s="145">
        <f t="shared" si="1"/>
        <v>9025729.6400000006</v>
      </c>
      <c r="G39" s="145">
        <v>4372730.82</v>
      </c>
      <c r="H39" s="145">
        <v>3874025.5199999996</v>
      </c>
      <c r="I39" s="145">
        <v>778973.3</v>
      </c>
      <c r="J39" s="145">
        <f t="shared" si="0"/>
        <v>10239698.141776148</v>
      </c>
      <c r="K39" s="145">
        <f t="shared" si="2"/>
        <v>237000</v>
      </c>
      <c r="L39" s="145">
        <f t="shared" si="3"/>
        <v>19482.137509906486</v>
      </c>
      <c r="M39" s="145">
        <v>4422601</v>
      </c>
      <c r="N39" s="145">
        <v>4967036</v>
      </c>
      <c r="O39" s="145">
        <v>5453884</v>
      </c>
      <c r="P39" s="145">
        <f t="shared" si="4"/>
        <v>5804000</v>
      </c>
      <c r="Q39" s="145">
        <f t="shared" si="5"/>
        <v>6041000</v>
      </c>
      <c r="R39" s="146"/>
    </row>
    <row r="40" spans="1:18" x14ac:dyDescent="0.2">
      <c r="A40" s="143" t="s">
        <v>38</v>
      </c>
      <c r="B40" s="144" t="s">
        <v>118</v>
      </c>
      <c r="C40" s="144" t="s">
        <v>44</v>
      </c>
      <c r="D40" s="145">
        <v>8487239.7999999989</v>
      </c>
      <c r="E40" s="145">
        <v>9144131.7400000021</v>
      </c>
      <c r="F40" s="145">
        <f t="shared" si="1"/>
        <v>10658148.25</v>
      </c>
      <c r="G40" s="145">
        <v>5162987.3899999997</v>
      </c>
      <c r="H40" s="145">
        <v>4578868.25</v>
      </c>
      <c r="I40" s="145">
        <v>916292.61</v>
      </c>
      <c r="J40" s="145">
        <f t="shared" si="0"/>
        <v>12091678.477342438</v>
      </c>
      <c r="K40" s="145">
        <f t="shared" si="2"/>
        <v>279000</v>
      </c>
      <c r="L40" s="145">
        <f t="shared" si="3"/>
        <v>22916.496146056757</v>
      </c>
      <c r="M40" s="145">
        <v>5019888</v>
      </c>
      <c r="N40" s="145">
        <v>5440857</v>
      </c>
      <c r="O40" s="145">
        <v>6080208</v>
      </c>
      <c r="P40" s="145">
        <f t="shared" si="4"/>
        <v>6470000</v>
      </c>
      <c r="Q40" s="145">
        <f t="shared" si="5"/>
        <v>6749000</v>
      </c>
      <c r="R40" s="146"/>
    </row>
    <row r="41" spans="1:18" x14ac:dyDescent="0.2">
      <c r="A41" s="143" t="s">
        <v>38</v>
      </c>
      <c r="B41" s="144" t="s">
        <v>37</v>
      </c>
      <c r="C41" s="144" t="s">
        <v>37</v>
      </c>
      <c r="D41" s="145">
        <v>24881569.510000002</v>
      </c>
      <c r="E41" s="145">
        <v>26125926.519999996</v>
      </c>
      <c r="F41" s="145">
        <f t="shared" si="1"/>
        <v>30219282.16</v>
      </c>
      <c r="G41" s="145">
        <v>14672752.580000002</v>
      </c>
      <c r="H41" s="145">
        <v>12957379.630000001</v>
      </c>
      <c r="I41" s="145">
        <v>2589149.9500000002</v>
      </c>
      <c r="J41" s="145">
        <f t="shared" si="0"/>
        <v>34283801.944189534</v>
      </c>
      <c r="K41" s="145">
        <f t="shared" si="2"/>
        <v>793000</v>
      </c>
      <c r="L41" s="145">
        <f t="shared" si="3"/>
        <v>64754.691026852277</v>
      </c>
      <c r="M41" s="145">
        <v>13313694</v>
      </c>
      <c r="N41" s="145">
        <v>14824705</v>
      </c>
      <c r="O41" s="145">
        <v>16131515</v>
      </c>
      <c r="P41" s="145">
        <f t="shared" si="4"/>
        <v>17166000</v>
      </c>
      <c r="Q41" s="145">
        <f t="shared" si="5"/>
        <v>17959000</v>
      </c>
      <c r="R41" s="146"/>
    </row>
    <row r="42" spans="1:18" x14ac:dyDescent="0.2">
      <c r="A42" s="143" t="s">
        <v>38</v>
      </c>
      <c r="B42" s="144" t="s">
        <v>117</v>
      </c>
      <c r="C42" s="144" t="s">
        <v>41</v>
      </c>
      <c r="D42" s="145">
        <v>19210565.32</v>
      </c>
      <c r="E42" s="145">
        <v>20569424.140000001</v>
      </c>
      <c r="F42" s="145">
        <f t="shared" si="1"/>
        <v>23797280.519999996</v>
      </c>
      <c r="G42" s="145">
        <v>11544093.5</v>
      </c>
      <c r="H42" s="145">
        <v>10207193.049999999</v>
      </c>
      <c r="I42" s="145">
        <v>2045993.97</v>
      </c>
      <c r="J42" s="145">
        <f t="shared" si="0"/>
        <v>26998035.487352543</v>
      </c>
      <c r="K42" s="145">
        <f t="shared" si="2"/>
        <v>624000</v>
      </c>
      <c r="L42" s="145">
        <f t="shared" si="3"/>
        <v>51170.349314898835</v>
      </c>
      <c r="M42" s="145">
        <v>8265320</v>
      </c>
      <c r="N42" s="145">
        <v>9065728</v>
      </c>
      <c r="O42" s="145">
        <v>9846684</v>
      </c>
      <c r="P42" s="145">
        <f t="shared" si="4"/>
        <v>10478000</v>
      </c>
      <c r="Q42" s="145">
        <f t="shared" si="5"/>
        <v>11102000</v>
      </c>
      <c r="R42" s="146"/>
    </row>
    <row r="43" spans="1:18" x14ac:dyDescent="0.2">
      <c r="A43" s="143" t="s">
        <v>38</v>
      </c>
      <c r="B43" s="144" t="s">
        <v>116</v>
      </c>
      <c r="C43" s="144" t="s">
        <v>45</v>
      </c>
      <c r="D43" s="145">
        <v>10809862.049999999</v>
      </c>
      <c r="E43" s="145">
        <v>11273585.879999993</v>
      </c>
      <c r="F43" s="145">
        <f t="shared" si="1"/>
        <v>13155497.459999999</v>
      </c>
      <c r="G43" s="145">
        <v>6350349.9900000002</v>
      </c>
      <c r="H43" s="145">
        <v>5666319.0499999998</v>
      </c>
      <c r="I43" s="145">
        <v>1138828.42</v>
      </c>
      <c r="J43" s="145">
        <f t="shared" si="0"/>
        <v>14924923.332326053</v>
      </c>
      <c r="K43" s="145">
        <f t="shared" si="2"/>
        <v>345000</v>
      </c>
      <c r="L43" s="145">
        <f t="shared" si="3"/>
        <v>28482.121118438256</v>
      </c>
      <c r="M43" s="145">
        <v>5378005</v>
      </c>
      <c r="N43" s="145">
        <v>5895831</v>
      </c>
      <c r="O43" s="145">
        <v>6577360</v>
      </c>
      <c r="P43" s="145">
        <f t="shared" si="4"/>
        <v>6999000</v>
      </c>
      <c r="Q43" s="145">
        <f t="shared" si="5"/>
        <v>7344000</v>
      </c>
      <c r="R43" s="146"/>
    </row>
    <row r="44" spans="1:18" x14ac:dyDescent="0.2">
      <c r="A44" s="143" t="s">
        <v>38</v>
      </c>
      <c r="B44" s="144" t="s">
        <v>115</v>
      </c>
      <c r="C44" s="144" t="s">
        <v>39</v>
      </c>
      <c r="D44" s="145">
        <v>11198460.24</v>
      </c>
      <c r="E44" s="145">
        <v>11776150.309999999</v>
      </c>
      <c r="F44" s="145">
        <f t="shared" si="1"/>
        <v>13571130.209999999</v>
      </c>
      <c r="G44" s="145">
        <v>6595493.6099999994</v>
      </c>
      <c r="H44" s="145">
        <v>5812225.4399999995</v>
      </c>
      <c r="I44" s="145">
        <v>1163411.1599999999</v>
      </c>
      <c r="J44" s="145">
        <f t="shared" si="0"/>
        <v>15396459.049391506</v>
      </c>
      <c r="K44" s="145">
        <f t="shared" si="2"/>
        <v>356000</v>
      </c>
      <c r="L44" s="145">
        <f t="shared" si="3"/>
        <v>29096.93592794492</v>
      </c>
      <c r="M44" s="145">
        <v>4449450</v>
      </c>
      <c r="N44" s="145">
        <v>4752197</v>
      </c>
      <c r="O44" s="145">
        <v>5130536</v>
      </c>
      <c r="P44" s="145">
        <f t="shared" si="4"/>
        <v>5460000</v>
      </c>
      <c r="Q44" s="145">
        <f t="shared" si="5"/>
        <v>5816000</v>
      </c>
      <c r="R44" s="146"/>
    </row>
    <row r="45" spans="1:18" x14ac:dyDescent="0.2">
      <c r="A45" s="143" t="s">
        <v>38</v>
      </c>
      <c r="B45" s="144" t="s">
        <v>114</v>
      </c>
      <c r="C45" s="144" t="s">
        <v>42</v>
      </c>
      <c r="D45" s="145">
        <v>10044643.870000001</v>
      </c>
      <c r="E45" s="145">
        <v>10569601.710000001</v>
      </c>
      <c r="F45" s="145">
        <f t="shared" si="1"/>
        <v>12115410.34</v>
      </c>
      <c r="G45" s="145">
        <v>5881172.6800000006</v>
      </c>
      <c r="H45" s="145">
        <v>5187764.72</v>
      </c>
      <c r="I45" s="145">
        <v>1046472.94</v>
      </c>
      <c r="J45" s="145">
        <f t="shared" si="0"/>
        <v>13744943.588333933</v>
      </c>
      <c r="K45" s="145">
        <f t="shared" si="2"/>
        <v>318000</v>
      </c>
      <c r="L45" s="145">
        <f t="shared" si="3"/>
        <v>26172.308752400266</v>
      </c>
      <c r="M45" s="145">
        <v>4578564</v>
      </c>
      <c r="N45" s="145">
        <v>4919871</v>
      </c>
      <c r="O45" s="145">
        <v>5305274</v>
      </c>
      <c r="P45" s="145">
        <f t="shared" si="4"/>
        <v>5646000</v>
      </c>
      <c r="Q45" s="145">
        <f t="shared" si="5"/>
        <v>5964000</v>
      </c>
      <c r="R45" s="146"/>
    </row>
    <row r="46" spans="1:18" x14ac:dyDescent="0.2">
      <c r="A46" s="143" t="s">
        <v>35</v>
      </c>
      <c r="B46" s="144" t="s">
        <v>113</v>
      </c>
      <c r="C46" s="144" t="s">
        <v>36</v>
      </c>
      <c r="D46" s="145">
        <v>8005664.6200000001</v>
      </c>
      <c r="E46" s="145">
        <v>8405120.5199999996</v>
      </c>
      <c r="F46" s="145">
        <f t="shared" si="1"/>
        <v>9818070.2400000002</v>
      </c>
      <c r="G46" s="145">
        <v>4788471.13</v>
      </c>
      <c r="H46" s="145">
        <v>4191594.47</v>
      </c>
      <c r="I46" s="145">
        <v>838004.64</v>
      </c>
      <c r="J46" s="145">
        <f t="shared" si="0"/>
        <v>11138609.24293714</v>
      </c>
      <c r="K46" s="145">
        <f t="shared" si="2"/>
        <v>258000</v>
      </c>
      <c r="L46" s="145">
        <f t="shared" si="3"/>
        <v>20958.51248100504</v>
      </c>
      <c r="M46" s="145">
        <v>4196617</v>
      </c>
      <c r="N46" s="145">
        <v>4764126</v>
      </c>
      <c r="O46" s="145">
        <v>5140318</v>
      </c>
      <c r="P46" s="145">
        <f t="shared" si="4"/>
        <v>5470000</v>
      </c>
      <c r="Q46" s="145">
        <f t="shared" si="5"/>
        <v>5728000</v>
      </c>
      <c r="R46" s="146"/>
    </row>
    <row r="47" spans="1:18" x14ac:dyDescent="0.2">
      <c r="A47" s="143" t="s">
        <v>35</v>
      </c>
      <c r="B47" s="144" t="s">
        <v>112</v>
      </c>
      <c r="C47" s="144" t="s">
        <v>35</v>
      </c>
      <c r="D47" s="145">
        <v>23949669.170000002</v>
      </c>
      <c r="E47" s="145">
        <v>25265428.910000011</v>
      </c>
      <c r="F47" s="145">
        <f t="shared" si="1"/>
        <v>29357433.720000003</v>
      </c>
      <c r="G47" s="145">
        <v>14210857.830000002</v>
      </c>
      <c r="H47" s="145">
        <v>12612009.77</v>
      </c>
      <c r="I47" s="145">
        <v>2534566.12</v>
      </c>
      <c r="J47" s="145">
        <f t="shared" si="0"/>
        <v>33306034.137978066</v>
      </c>
      <c r="K47" s="145">
        <f t="shared" si="2"/>
        <v>770000</v>
      </c>
      <c r="L47" s="145">
        <f t="shared" si="3"/>
        <v>63389.548368076481</v>
      </c>
      <c r="M47" s="145">
        <v>10959487</v>
      </c>
      <c r="N47" s="145">
        <v>12015627</v>
      </c>
      <c r="O47" s="145">
        <v>12844391</v>
      </c>
      <c r="P47" s="145">
        <f t="shared" si="4"/>
        <v>13668000</v>
      </c>
      <c r="Q47" s="145">
        <f t="shared" si="5"/>
        <v>14438000</v>
      </c>
      <c r="R47" s="146"/>
    </row>
    <row r="48" spans="1:18" x14ac:dyDescent="0.2">
      <c r="A48" s="143" t="s">
        <v>35</v>
      </c>
      <c r="B48" s="144" t="s">
        <v>111</v>
      </c>
      <c r="C48" s="144" t="s">
        <v>34</v>
      </c>
      <c r="D48" s="145">
        <v>11251596.630000001</v>
      </c>
      <c r="E48" s="145">
        <v>11917275.369999999</v>
      </c>
      <c r="F48" s="145">
        <f t="shared" si="1"/>
        <v>13888193.34</v>
      </c>
      <c r="G48" s="145">
        <v>6722558.5499999998</v>
      </c>
      <c r="H48" s="145">
        <v>5962186.3700000001</v>
      </c>
      <c r="I48" s="145">
        <v>1203448.42</v>
      </c>
      <c r="J48" s="145">
        <f t="shared" si="0"/>
        <v>15756167.446671478</v>
      </c>
      <c r="K48" s="145">
        <f t="shared" si="2"/>
        <v>364000</v>
      </c>
      <c r="L48" s="145">
        <f t="shared" si="3"/>
        <v>30098.268585739326</v>
      </c>
      <c r="M48" s="145">
        <v>4768456</v>
      </c>
      <c r="N48" s="145">
        <v>5272172</v>
      </c>
      <c r="O48" s="145">
        <v>5545732</v>
      </c>
      <c r="P48" s="145">
        <f t="shared" si="4"/>
        <v>5902000</v>
      </c>
      <c r="Q48" s="145">
        <f t="shared" si="5"/>
        <v>6266000</v>
      </c>
      <c r="R48" s="146"/>
    </row>
    <row r="49" spans="1:18" x14ac:dyDescent="0.2">
      <c r="A49" s="143" t="s">
        <v>28</v>
      </c>
      <c r="B49" s="144" t="s">
        <v>110</v>
      </c>
      <c r="C49" s="144" t="s">
        <v>32</v>
      </c>
      <c r="D49" s="145">
        <v>7543406.6000000006</v>
      </c>
      <c r="E49" s="145">
        <v>8051784.6399999997</v>
      </c>
      <c r="F49" s="145">
        <f t="shared" si="1"/>
        <v>9442780.4900000021</v>
      </c>
      <c r="G49" s="145">
        <v>4554913.3600000003</v>
      </c>
      <c r="H49" s="145">
        <v>4070332.49</v>
      </c>
      <c r="I49" s="145">
        <v>817534.64</v>
      </c>
      <c r="J49" s="145">
        <f t="shared" si="0"/>
        <v>10712842.694527363</v>
      </c>
      <c r="K49" s="145">
        <f t="shared" si="2"/>
        <v>247000</v>
      </c>
      <c r="L49" s="145">
        <f t="shared" si="3"/>
        <v>20446.557379555754</v>
      </c>
      <c r="M49" s="145">
        <v>3936561</v>
      </c>
      <c r="N49" s="145">
        <v>4510412</v>
      </c>
      <c r="O49" s="145">
        <v>5048912</v>
      </c>
      <c r="P49" s="145">
        <f t="shared" si="4"/>
        <v>5373000</v>
      </c>
      <c r="Q49" s="145">
        <f t="shared" si="5"/>
        <v>5620000</v>
      </c>
      <c r="R49" s="146"/>
    </row>
    <row r="50" spans="1:18" x14ac:dyDescent="0.2">
      <c r="A50" s="143" t="s">
        <v>28</v>
      </c>
      <c r="B50" s="144" t="s">
        <v>109</v>
      </c>
      <c r="C50" s="144" t="s">
        <v>27</v>
      </c>
      <c r="D50" s="145">
        <v>990851.35999999987</v>
      </c>
      <c r="E50" s="145">
        <v>1043460.7599999999</v>
      </c>
      <c r="F50" s="145">
        <f t="shared" si="1"/>
        <v>1240014.7799999998</v>
      </c>
      <c r="G50" s="145">
        <v>601186.72</v>
      </c>
      <c r="H50" s="145">
        <v>532812.07999999996</v>
      </c>
      <c r="I50" s="145">
        <v>106015.98</v>
      </c>
      <c r="J50" s="145">
        <f t="shared" si="0"/>
        <v>1406797.8484829685</v>
      </c>
      <c r="K50" s="145">
        <f t="shared" si="2"/>
        <v>33000</v>
      </c>
      <c r="L50" s="145">
        <f t="shared" si="3"/>
        <v>2651.4617389421383</v>
      </c>
      <c r="M50" s="145">
        <v>646803</v>
      </c>
      <c r="N50" s="145">
        <v>682204</v>
      </c>
      <c r="O50" s="145">
        <v>731172</v>
      </c>
      <c r="P50" s="145">
        <f t="shared" si="4"/>
        <v>778000</v>
      </c>
      <c r="Q50" s="145">
        <f t="shared" si="5"/>
        <v>811000</v>
      </c>
      <c r="R50" s="146"/>
    </row>
    <row r="51" spans="1:18" x14ac:dyDescent="0.2">
      <c r="A51" s="143" t="s">
        <v>28</v>
      </c>
      <c r="B51" s="144" t="s">
        <v>221</v>
      </c>
      <c r="C51" s="144" t="s">
        <v>49</v>
      </c>
      <c r="D51" s="145">
        <v>9813812.6600000001</v>
      </c>
      <c r="E51" s="145">
        <v>10464567.070000002</v>
      </c>
      <c r="F51" s="145">
        <f t="shared" si="1"/>
        <v>12108737.819999998</v>
      </c>
      <c r="G51" s="145">
        <v>5884132.7899999991</v>
      </c>
      <c r="H51" s="145">
        <v>5186024.68</v>
      </c>
      <c r="I51" s="145">
        <v>1038580.35</v>
      </c>
      <c r="J51" s="145">
        <f t="shared" si="0"/>
        <v>13737373.608579367</v>
      </c>
      <c r="K51" s="145">
        <f t="shared" si="2"/>
        <v>318000</v>
      </c>
      <c r="L51" s="145">
        <f t="shared" si="3"/>
        <v>25974.914921714015</v>
      </c>
      <c r="M51" s="145">
        <v>3956276</v>
      </c>
      <c r="N51" s="145">
        <v>4314750</v>
      </c>
      <c r="O51" s="145">
        <v>4829256</v>
      </c>
      <c r="P51" s="145">
        <f t="shared" si="4"/>
        <v>5139000</v>
      </c>
      <c r="Q51" s="145">
        <f t="shared" si="5"/>
        <v>5457000</v>
      </c>
      <c r="R51" s="146"/>
    </row>
    <row r="52" spans="1:18" ht="25.5" x14ac:dyDescent="0.2">
      <c r="A52" s="143" t="s">
        <v>28</v>
      </c>
      <c r="B52" s="144" t="s">
        <v>222</v>
      </c>
      <c r="C52" s="144" t="s">
        <v>31</v>
      </c>
      <c r="D52" s="145">
        <v>14908172.42</v>
      </c>
      <c r="E52" s="145">
        <v>15734549.559999999</v>
      </c>
      <c r="F52" s="145">
        <f t="shared" si="1"/>
        <v>18355784.329999998</v>
      </c>
      <c r="G52" s="145">
        <v>8870220.6500000004</v>
      </c>
      <c r="H52" s="145">
        <v>7904015.0299999993</v>
      </c>
      <c r="I52" s="145">
        <v>1581548.65</v>
      </c>
      <c r="J52" s="145">
        <f t="shared" si="0"/>
        <v>20824653.317972057</v>
      </c>
      <c r="K52" s="145">
        <f t="shared" si="2"/>
        <v>481000</v>
      </c>
      <c r="L52" s="145">
        <f t="shared" si="3"/>
        <v>39554.562753186743</v>
      </c>
      <c r="M52" s="145">
        <v>6503138</v>
      </c>
      <c r="N52" s="145">
        <v>7052987</v>
      </c>
      <c r="O52" s="145">
        <v>7865175</v>
      </c>
      <c r="P52" s="145">
        <f t="shared" si="4"/>
        <v>8370000</v>
      </c>
      <c r="Q52" s="145">
        <f t="shared" si="5"/>
        <v>8851000</v>
      </c>
      <c r="R52" s="146"/>
    </row>
    <row r="53" spans="1:18" x14ac:dyDescent="0.2">
      <c r="A53" s="143" t="s">
        <v>28</v>
      </c>
      <c r="B53" s="144" t="s">
        <v>30</v>
      </c>
      <c r="C53" s="144" t="s">
        <v>30</v>
      </c>
      <c r="D53" s="145">
        <v>86425285.180000007</v>
      </c>
      <c r="E53" s="145">
        <v>92194446.030000001</v>
      </c>
      <c r="F53" s="145">
        <f t="shared" si="1"/>
        <v>106567998.31999999</v>
      </c>
      <c r="G53" s="145">
        <v>51709354.799999997</v>
      </c>
      <c r="H53" s="145">
        <v>45715533.25</v>
      </c>
      <c r="I53" s="145">
        <v>9143110.2699999996</v>
      </c>
      <c r="J53" s="145">
        <f t="shared" si="0"/>
        <v>120901486.95946398</v>
      </c>
      <c r="K53" s="145">
        <f t="shared" si="2"/>
        <v>2795000</v>
      </c>
      <c r="L53" s="145">
        <f t="shared" si="3"/>
        <v>228669.36716364761</v>
      </c>
      <c r="M53" s="145">
        <v>43656059</v>
      </c>
      <c r="N53" s="145">
        <v>48675684</v>
      </c>
      <c r="O53" s="145">
        <v>52878396</v>
      </c>
      <c r="P53" s="145">
        <f t="shared" si="4"/>
        <v>56271000</v>
      </c>
      <c r="Q53" s="145">
        <f t="shared" si="5"/>
        <v>59066000</v>
      </c>
      <c r="R53" s="146"/>
    </row>
    <row r="54" spans="1:18" x14ac:dyDescent="0.2">
      <c r="A54" s="143" t="s">
        <v>28</v>
      </c>
      <c r="B54" s="144" t="s">
        <v>108</v>
      </c>
      <c r="C54" s="144" t="s">
        <v>33</v>
      </c>
      <c r="D54" s="145">
        <v>8433717.75</v>
      </c>
      <c r="E54" s="145">
        <v>8853473.2300000023</v>
      </c>
      <c r="F54" s="145">
        <f t="shared" si="1"/>
        <v>10131368.18</v>
      </c>
      <c r="G54" s="145">
        <v>4926599.4399999995</v>
      </c>
      <c r="H54" s="145">
        <v>4336867.28</v>
      </c>
      <c r="I54" s="145">
        <v>867901.46</v>
      </c>
      <c r="J54" s="145">
        <f t="shared" si="0"/>
        <v>11494046.028881051</v>
      </c>
      <c r="K54" s="145">
        <f t="shared" si="2"/>
        <v>266000</v>
      </c>
      <c r="L54" s="145">
        <f t="shared" si="3"/>
        <v>21706.232535529274</v>
      </c>
      <c r="M54" s="145">
        <v>3517218</v>
      </c>
      <c r="N54" s="145">
        <v>3821475</v>
      </c>
      <c r="O54" s="145">
        <v>4201580</v>
      </c>
      <c r="P54" s="145">
        <f t="shared" si="4"/>
        <v>4471000</v>
      </c>
      <c r="Q54" s="145">
        <f t="shared" si="5"/>
        <v>4737000</v>
      </c>
      <c r="R54" s="146"/>
    </row>
    <row r="55" spans="1:18" x14ac:dyDescent="0.2">
      <c r="A55" s="143" t="s">
        <v>28</v>
      </c>
      <c r="B55" s="144" t="s">
        <v>107</v>
      </c>
      <c r="C55" s="144" t="s">
        <v>29</v>
      </c>
      <c r="D55" s="145">
        <v>16929547.449999999</v>
      </c>
      <c r="E55" s="145">
        <v>17972643.739999998</v>
      </c>
      <c r="F55" s="145">
        <f t="shared" si="1"/>
        <v>20983936.34</v>
      </c>
      <c r="G55" s="145">
        <v>10141159.41</v>
      </c>
      <c r="H55" s="145">
        <v>9024959.5600000005</v>
      </c>
      <c r="I55" s="145">
        <v>1817817.37</v>
      </c>
      <c r="J55" s="145">
        <f t="shared" si="0"/>
        <v>23806294.063539773</v>
      </c>
      <c r="K55" s="145">
        <f t="shared" si="2"/>
        <v>550000</v>
      </c>
      <c r="L55" s="145">
        <f t="shared" si="3"/>
        <v>45463.648073992474</v>
      </c>
      <c r="M55" s="145">
        <v>10102827</v>
      </c>
      <c r="N55" s="145">
        <v>11662543</v>
      </c>
      <c r="O55" s="145">
        <v>13028309</v>
      </c>
      <c r="P55" s="145">
        <f t="shared" si="4"/>
        <v>13864000</v>
      </c>
      <c r="Q55" s="145">
        <f t="shared" si="5"/>
        <v>14414000</v>
      </c>
      <c r="R55" s="146"/>
    </row>
    <row r="56" spans="1:18" x14ac:dyDescent="0.2">
      <c r="A56" s="143" t="s">
        <v>24</v>
      </c>
      <c r="B56" s="144" t="s">
        <v>106</v>
      </c>
      <c r="C56" s="144" t="s">
        <v>25</v>
      </c>
      <c r="D56" s="145">
        <v>9208756.9199999999</v>
      </c>
      <c r="E56" s="145">
        <v>9617861.9900000002</v>
      </c>
      <c r="F56" s="145">
        <f t="shared" si="1"/>
        <v>11264705.26</v>
      </c>
      <c r="G56" s="145">
        <v>5452635.9900000002</v>
      </c>
      <c r="H56" s="145">
        <v>4841842.3499999996</v>
      </c>
      <c r="I56" s="145">
        <v>970226.92</v>
      </c>
      <c r="J56" s="145">
        <f t="shared" si="0"/>
        <v>12779817.933752999</v>
      </c>
      <c r="K56" s="145">
        <f t="shared" si="2"/>
        <v>295000</v>
      </c>
      <c r="L56" s="145">
        <f t="shared" si="3"/>
        <v>24265.394296894439</v>
      </c>
      <c r="M56" s="145">
        <v>4757073</v>
      </c>
      <c r="N56" s="145">
        <v>5437457</v>
      </c>
      <c r="O56" s="145">
        <v>5910136</v>
      </c>
      <c r="P56" s="145">
        <f t="shared" si="4"/>
        <v>6289000</v>
      </c>
      <c r="Q56" s="145">
        <f t="shared" si="5"/>
        <v>6584000</v>
      </c>
      <c r="R56" s="146"/>
    </row>
    <row r="57" spans="1:18" x14ac:dyDescent="0.2">
      <c r="A57" s="143" t="s">
        <v>24</v>
      </c>
      <c r="B57" s="144" t="s">
        <v>105</v>
      </c>
      <c r="C57" s="144" t="s">
        <v>23</v>
      </c>
      <c r="D57" s="145">
        <v>9178109.2199999988</v>
      </c>
      <c r="E57" s="145">
        <v>9997341.2500000019</v>
      </c>
      <c r="F57" s="145">
        <f t="shared" si="1"/>
        <v>11843651.730000002</v>
      </c>
      <c r="G57" s="145">
        <v>5739559.8300000001</v>
      </c>
      <c r="H57" s="145">
        <v>5077601.1800000006</v>
      </c>
      <c r="I57" s="145">
        <v>1026490.72</v>
      </c>
      <c r="J57" s="145">
        <f t="shared" si="0"/>
        <v>13436633.208473204</v>
      </c>
      <c r="K57" s="145">
        <f t="shared" si="2"/>
        <v>310000</v>
      </c>
      <c r="L57" s="145">
        <f t="shared" si="3"/>
        <v>25672.553038317124</v>
      </c>
      <c r="M57" s="145">
        <v>8030597</v>
      </c>
      <c r="N57" s="145">
        <v>8992747</v>
      </c>
      <c r="O57" s="145">
        <v>9987060</v>
      </c>
      <c r="P57" s="145">
        <f t="shared" si="4"/>
        <v>10628000</v>
      </c>
      <c r="Q57" s="145">
        <f t="shared" si="5"/>
        <v>10938000</v>
      </c>
      <c r="R57" s="146"/>
    </row>
    <row r="58" spans="1:18" x14ac:dyDescent="0.2">
      <c r="A58" s="143" t="s">
        <v>24</v>
      </c>
      <c r="B58" s="144" t="s">
        <v>104</v>
      </c>
      <c r="C58" s="144" t="s">
        <v>26</v>
      </c>
      <c r="D58" s="145">
        <v>12791166.33</v>
      </c>
      <c r="E58" s="145">
        <v>13569382.029999999</v>
      </c>
      <c r="F58" s="145">
        <f t="shared" si="1"/>
        <v>15872751.289999999</v>
      </c>
      <c r="G58" s="145">
        <v>7664968.5899999999</v>
      </c>
      <c r="H58" s="145">
        <v>6842550.5199999996</v>
      </c>
      <c r="I58" s="145">
        <v>1365232.18</v>
      </c>
      <c r="J58" s="145">
        <f t="shared" si="0"/>
        <v>18007650.170328829</v>
      </c>
      <c r="K58" s="145">
        <f t="shared" si="2"/>
        <v>416000</v>
      </c>
      <c r="L58" s="145">
        <f t="shared" si="3"/>
        <v>34144.483596176404</v>
      </c>
      <c r="M58" s="145">
        <v>6256187</v>
      </c>
      <c r="N58" s="145">
        <v>6916425</v>
      </c>
      <c r="O58" s="145">
        <v>7604964</v>
      </c>
      <c r="P58" s="145">
        <f t="shared" si="4"/>
        <v>8093000</v>
      </c>
      <c r="Q58" s="145">
        <f t="shared" si="5"/>
        <v>8509000</v>
      </c>
      <c r="R58" s="146"/>
    </row>
    <row r="59" spans="1:18" x14ac:dyDescent="0.2">
      <c r="A59" s="143" t="s">
        <v>24</v>
      </c>
      <c r="B59" s="144" t="s">
        <v>103</v>
      </c>
      <c r="C59" s="144" t="s">
        <v>24</v>
      </c>
      <c r="D59" s="145">
        <v>21655217.399999999</v>
      </c>
      <c r="E59" s="145">
        <v>23219915.779999997</v>
      </c>
      <c r="F59" s="145">
        <f t="shared" si="1"/>
        <v>27127524.920000002</v>
      </c>
      <c r="G59" s="145">
        <v>13120865.060000001</v>
      </c>
      <c r="H59" s="145">
        <v>11663131.99</v>
      </c>
      <c r="I59" s="145">
        <v>2343527.87</v>
      </c>
      <c r="J59" s="145">
        <f t="shared" si="0"/>
        <v>30776200.661192216</v>
      </c>
      <c r="K59" s="145">
        <f t="shared" si="2"/>
        <v>711000</v>
      </c>
      <c r="L59" s="145">
        <f t="shared" si="3"/>
        <v>58611.677989012271</v>
      </c>
      <c r="M59" s="145">
        <v>12506660</v>
      </c>
      <c r="N59" s="145">
        <v>13920661</v>
      </c>
      <c r="O59" s="145">
        <v>15258403</v>
      </c>
      <c r="P59" s="145">
        <f t="shared" si="4"/>
        <v>16237000</v>
      </c>
      <c r="Q59" s="145">
        <f t="shared" si="5"/>
        <v>16948000</v>
      </c>
      <c r="R59" s="146"/>
    </row>
    <row r="60" spans="1:18" x14ac:dyDescent="0.2">
      <c r="A60" s="143" t="s">
        <v>20</v>
      </c>
      <c r="B60" s="144" t="s">
        <v>102</v>
      </c>
      <c r="C60" s="144" t="s">
        <v>21</v>
      </c>
      <c r="D60" s="145">
        <v>3678339.2699999996</v>
      </c>
      <c r="E60" s="145">
        <v>3903668.5400000005</v>
      </c>
      <c r="F60" s="145">
        <f t="shared" si="1"/>
        <v>4679460.87</v>
      </c>
      <c r="G60" s="145">
        <v>2272729.98</v>
      </c>
      <c r="H60" s="145">
        <v>2007953.51</v>
      </c>
      <c r="I60" s="145">
        <v>398777.38</v>
      </c>
      <c r="J60" s="145">
        <f t="shared" si="0"/>
        <v>5308852.4347881088</v>
      </c>
      <c r="K60" s="145">
        <f t="shared" si="2"/>
        <v>123000</v>
      </c>
      <c r="L60" s="145">
        <f t="shared" si="3"/>
        <v>9973.4300944592505</v>
      </c>
      <c r="M60" s="145">
        <v>2070771</v>
      </c>
      <c r="N60" s="145">
        <v>2319070</v>
      </c>
      <c r="O60" s="145">
        <v>2694398</v>
      </c>
      <c r="P60" s="145">
        <f t="shared" si="4"/>
        <v>2867000</v>
      </c>
      <c r="Q60" s="145">
        <f t="shared" si="5"/>
        <v>2990000</v>
      </c>
      <c r="R60" s="146"/>
    </row>
    <row r="61" spans="1:18" x14ac:dyDescent="0.2">
      <c r="A61" s="148" t="s">
        <v>20</v>
      </c>
      <c r="B61" s="144" t="s">
        <v>101</v>
      </c>
      <c r="C61" s="144" t="s">
        <v>19</v>
      </c>
      <c r="D61" s="145">
        <v>166420.13999999996</v>
      </c>
      <c r="E61" s="145">
        <v>185594.97</v>
      </c>
      <c r="F61" s="145">
        <f t="shared" si="1"/>
        <v>199574.32</v>
      </c>
      <c r="G61" s="145">
        <v>98962.080000000016</v>
      </c>
      <c r="H61" s="145">
        <v>84661.3</v>
      </c>
      <c r="I61" s="145">
        <v>15950.94</v>
      </c>
      <c r="J61" s="145">
        <f t="shared" si="0"/>
        <v>226417.23995293953</v>
      </c>
      <c r="K61" s="145">
        <f t="shared" si="2"/>
        <v>5000</v>
      </c>
      <c r="L61" s="145">
        <f t="shared" si="3"/>
        <v>398.93332222332623</v>
      </c>
      <c r="M61" s="145">
        <v>176154</v>
      </c>
      <c r="N61" s="145">
        <v>205171</v>
      </c>
      <c r="O61" s="145">
        <v>218381</v>
      </c>
      <c r="P61" s="145">
        <f t="shared" si="4"/>
        <v>232000</v>
      </c>
      <c r="Q61" s="145">
        <f t="shared" si="5"/>
        <v>237000</v>
      </c>
      <c r="R61" s="146"/>
    </row>
    <row r="62" spans="1:18" x14ac:dyDescent="0.2">
      <c r="A62" s="148" t="s">
        <v>20</v>
      </c>
      <c r="B62" s="144" t="s">
        <v>223</v>
      </c>
      <c r="C62" s="144" t="s">
        <v>22</v>
      </c>
      <c r="D62" s="145">
        <v>52417670.210000001</v>
      </c>
      <c r="E62" s="145">
        <v>55456024.560000002</v>
      </c>
      <c r="F62" s="145">
        <f t="shared" si="1"/>
        <v>64165333.670000002</v>
      </c>
      <c r="G62" s="145">
        <v>31110821.289999999</v>
      </c>
      <c r="H62" s="145">
        <v>27535706.879999999</v>
      </c>
      <c r="I62" s="145">
        <v>5518805.5</v>
      </c>
      <c r="J62" s="145">
        <f t="shared" si="0"/>
        <v>72795626.963533282</v>
      </c>
      <c r="K62" s="145">
        <f t="shared" si="2"/>
        <v>1683000</v>
      </c>
      <c r="L62" s="145">
        <f t="shared" si="3"/>
        <v>138025.43378756143</v>
      </c>
      <c r="M62" s="145">
        <v>27886920</v>
      </c>
      <c r="N62" s="145">
        <v>30893995</v>
      </c>
      <c r="O62" s="145">
        <v>34895994</v>
      </c>
      <c r="P62" s="145">
        <f t="shared" si="4"/>
        <v>37135000</v>
      </c>
      <c r="Q62" s="145">
        <f t="shared" si="5"/>
        <v>38818000</v>
      </c>
      <c r="R62" s="146"/>
    </row>
    <row r="63" spans="1:18" x14ac:dyDescent="0.2">
      <c r="A63" s="143" t="s">
        <v>13</v>
      </c>
      <c r="B63" s="144" t="s">
        <v>224</v>
      </c>
      <c r="C63" s="144" t="s">
        <v>18</v>
      </c>
      <c r="D63" s="145">
        <v>23449287.450000003</v>
      </c>
      <c r="E63" s="145">
        <v>24908274.119999994</v>
      </c>
      <c r="F63" s="145">
        <f t="shared" si="1"/>
        <v>28926488.330000002</v>
      </c>
      <c r="G63" s="145">
        <v>14026068.609999999</v>
      </c>
      <c r="H63" s="145">
        <v>12414083.450000001</v>
      </c>
      <c r="I63" s="145">
        <v>2486336.27</v>
      </c>
      <c r="J63" s="145">
        <f t="shared" si="0"/>
        <v>32817126.217488877</v>
      </c>
      <c r="K63" s="145">
        <f t="shared" si="2"/>
        <v>759000</v>
      </c>
      <c r="L63" s="145">
        <f t="shared" si="3"/>
        <v>62183.318873712335</v>
      </c>
      <c r="M63" s="145">
        <v>12696744</v>
      </c>
      <c r="N63" s="145">
        <v>14275904</v>
      </c>
      <c r="O63" s="145">
        <v>15458274</v>
      </c>
      <c r="P63" s="145">
        <f t="shared" si="4"/>
        <v>16450000</v>
      </c>
      <c r="Q63" s="145">
        <f t="shared" si="5"/>
        <v>17209000</v>
      </c>
      <c r="R63" s="146"/>
    </row>
    <row r="64" spans="1:18" x14ac:dyDescent="0.2">
      <c r="A64" s="143" t="s">
        <v>13</v>
      </c>
      <c r="B64" s="144" t="s">
        <v>100</v>
      </c>
      <c r="C64" s="144" t="s">
        <v>12</v>
      </c>
      <c r="D64" s="145">
        <v>11228539.01</v>
      </c>
      <c r="E64" s="145">
        <v>12320908.860000001</v>
      </c>
      <c r="F64" s="145">
        <f t="shared" si="1"/>
        <v>14746074.249999998</v>
      </c>
      <c r="G64" s="145">
        <v>7104178.3799999999</v>
      </c>
      <c r="H64" s="145">
        <v>6355626.6099999994</v>
      </c>
      <c r="I64" s="145">
        <v>1286269.26</v>
      </c>
      <c r="J64" s="145">
        <f t="shared" si="0"/>
        <v>16729434.086640567</v>
      </c>
      <c r="K64" s="145">
        <f t="shared" si="2"/>
        <v>386000</v>
      </c>
      <c r="L64" s="145">
        <f t="shared" si="3"/>
        <v>32169.619418387843</v>
      </c>
      <c r="M64" s="145">
        <v>14644232</v>
      </c>
      <c r="N64" s="145">
        <v>17312505</v>
      </c>
      <c r="O64" s="145">
        <v>20044982</v>
      </c>
      <c r="P64" s="145">
        <f t="shared" si="4"/>
        <v>21331000</v>
      </c>
      <c r="Q64" s="145">
        <f t="shared" si="5"/>
        <v>21717000</v>
      </c>
      <c r="R64" s="146"/>
    </row>
    <row r="65" spans="1:18" x14ac:dyDescent="0.2">
      <c r="A65" s="143" t="s">
        <v>13</v>
      </c>
      <c r="B65" s="144" t="s">
        <v>225</v>
      </c>
      <c r="C65" s="144" t="s">
        <v>16</v>
      </c>
      <c r="D65" s="145">
        <v>6755585.1400000006</v>
      </c>
      <c r="E65" s="145">
        <v>7319473.3600000013</v>
      </c>
      <c r="F65" s="145">
        <f t="shared" si="1"/>
        <v>8613526.9299999997</v>
      </c>
      <c r="G65" s="145">
        <v>4165077.6399999997</v>
      </c>
      <c r="H65" s="145">
        <v>3702798.71</v>
      </c>
      <c r="I65" s="145">
        <v>745650.58</v>
      </c>
      <c r="J65" s="145">
        <f t="shared" si="0"/>
        <v>9772053.8080796991</v>
      </c>
      <c r="K65" s="145">
        <f t="shared" si="2"/>
        <v>226000</v>
      </c>
      <c r="L65" s="145">
        <f t="shared" si="3"/>
        <v>18648.7356291949</v>
      </c>
      <c r="M65" s="145">
        <v>5429608</v>
      </c>
      <c r="N65" s="145">
        <v>6452030</v>
      </c>
      <c r="O65" s="145">
        <v>7494181</v>
      </c>
      <c r="P65" s="145">
        <f t="shared" si="4"/>
        <v>7975000</v>
      </c>
      <c r="Q65" s="145">
        <f t="shared" si="5"/>
        <v>8201000</v>
      </c>
      <c r="R65" s="146"/>
    </row>
    <row r="66" spans="1:18" x14ac:dyDescent="0.2">
      <c r="A66" s="143" t="s">
        <v>13</v>
      </c>
      <c r="B66" s="144" t="s">
        <v>99</v>
      </c>
      <c r="C66" s="144" t="s">
        <v>14</v>
      </c>
      <c r="D66" s="145">
        <v>4642301.59</v>
      </c>
      <c r="E66" s="145">
        <v>5047961.9300000006</v>
      </c>
      <c r="F66" s="145">
        <f t="shared" si="1"/>
        <v>6058705.8999999994</v>
      </c>
      <c r="G66" s="145">
        <v>2936878.5999999996</v>
      </c>
      <c r="H66" s="145">
        <v>2599647.35</v>
      </c>
      <c r="I66" s="145">
        <v>522179.95</v>
      </c>
      <c r="J66" s="145">
        <f t="shared" si="0"/>
        <v>6873607.1232240209</v>
      </c>
      <c r="K66" s="145">
        <f t="shared" si="2"/>
        <v>159000</v>
      </c>
      <c r="L66" s="145">
        <f t="shared" si="3"/>
        <v>13059.730790280095</v>
      </c>
      <c r="M66" s="145">
        <v>5962003</v>
      </c>
      <c r="N66" s="145">
        <v>7002357</v>
      </c>
      <c r="O66" s="145">
        <v>8247964</v>
      </c>
      <c r="P66" s="145">
        <f t="shared" si="4"/>
        <v>8777000</v>
      </c>
      <c r="Q66" s="145">
        <f t="shared" si="5"/>
        <v>8936000</v>
      </c>
      <c r="R66" s="146"/>
    </row>
    <row r="67" spans="1:18" x14ac:dyDescent="0.2">
      <c r="A67" s="143" t="s">
        <v>13</v>
      </c>
      <c r="B67" s="144" t="s">
        <v>98</v>
      </c>
      <c r="C67" s="144" t="s">
        <v>17</v>
      </c>
      <c r="D67" s="145">
        <v>5624848.3499999996</v>
      </c>
      <c r="E67" s="145">
        <v>6065969.8999999994</v>
      </c>
      <c r="F67" s="145">
        <f t="shared" si="1"/>
        <v>7130939.4100000001</v>
      </c>
      <c r="G67" s="145">
        <v>3432846.22</v>
      </c>
      <c r="H67" s="145">
        <v>3079467.38</v>
      </c>
      <c r="I67" s="145">
        <v>618625.81000000006</v>
      </c>
      <c r="J67" s="145">
        <f t="shared" si="0"/>
        <v>8090056.9746841323</v>
      </c>
      <c r="K67" s="145">
        <f t="shared" si="2"/>
        <v>187000</v>
      </c>
      <c r="L67" s="145">
        <f t="shared" si="3"/>
        <v>15471.843640336947</v>
      </c>
      <c r="M67" s="145">
        <v>4418050</v>
      </c>
      <c r="N67" s="145">
        <v>4890523</v>
      </c>
      <c r="O67" s="145">
        <v>5489148</v>
      </c>
      <c r="P67" s="145">
        <f t="shared" si="4"/>
        <v>5841000</v>
      </c>
      <c r="Q67" s="145">
        <f t="shared" si="5"/>
        <v>6028000</v>
      </c>
      <c r="R67" s="146"/>
    </row>
    <row r="68" spans="1:18" x14ac:dyDescent="0.2">
      <c r="A68" s="143" t="s">
        <v>13</v>
      </c>
      <c r="B68" s="144" t="s">
        <v>97</v>
      </c>
      <c r="C68" s="144" t="s">
        <v>150</v>
      </c>
      <c r="D68" s="145">
        <v>9289389.4600000009</v>
      </c>
      <c r="E68" s="145">
        <v>9793079.0399999991</v>
      </c>
      <c r="F68" s="145">
        <f t="shared" si="1"/>
        <v>11258577.639999999</v>
      </c>
      <c r="G68" s="145">
        <v>5483588.5700000003</v>
      </c>
      <c r="H68" s="145">
        <v>4817368.22</v>
      </c>
      <c r="I68" s="145">
        <v>957620.85</v>
      </c>
      <c r="J68" s="145">
        <f t="shared" ref="J68:J83" si="6">G$89/F$89*F68</f>
        <v>12772866.14352327</v>
      </c>
      <c r="K68" s="145">
        <f t="shared" si="2"/>
        <v>295000</v>
      </c>
      <c r="L68" s="145">
        <f t="shared" si="3"/>
        <v>23950.116238969338</v>
      </c>
      <c r="M68" s="145">
        <v>4029504</v>
      </c>
      <c r="N68" s="145">
        <v>4417012</v>
      </c>
      <c r="O68" s="145">
        <v>4892701</v>
      </c>
      <c r="P68" s="145">
        <f t="shared" si="4"/>
        <v>5207000</v>
      </c>
      <c r="Q68" s="145">
        <f t="shared" si="5"/>
        <v>5502000</v>
      </c>
      <c r="R68" s="146"/>
    </row>
    <row r="69" spans="1:18" x14ac:dyDescent="0.2">
      <c r="A69" s="143" t="s">
        <v>13</v>
      </c>
      <c r="B69" s="144" t="s">
        <v>96</v>
      </c>
      <c r="C69" s="144" t="s">
        <v>13</v>
      </c>
      <c r="D69" s="145">
        <v>12421403.120000001</v>
      </c>
      <c r="E69" s="145">
        <v>13303690.010000002</v>
      </c>
      <c r="F69" s="145">
        <f t="shared" ref="F69:F82" si="7">SUM(G69:I69)</f>
        <v>15941697.330000002</v>
      </c>
      <c r="G69" s="145">
        <v>7696850.0100000016</v>
      </c>
      <c r="H69" s="145">
        <v>6861249.7300000004</v>
      </c>
      <c r="I69" s="145">
        <v>1383597.59</v>
      </c>
      <c r="J69" s="145">
        <f t="shared" si="6"/>
        <v>18085869.512789749</v>
      </c>
      <c r="K69" s="145">
        <f t="shared" ref="K69:K82" si="8">ROUND(J69*0.025*J$85-L69,-3)</f>
        <v>418000</v>
      </c>
      <c r="L69" s="145">
        <f t="shared" ref="L69:L82" si="9">I69*0.025*J$85</f>
        <v>34603.802860451338</v>
      </c>
      <c r="M69" s="145">
        <v>12528516</v>
      </c>
      <c r="N69" s="145">
        <v>14746492</v>
      </c>
      <c r="O69" s="145">
        <v>17408557</v>
      </c>
      <c r="P69" s="145">
        <f t="shared" ref="P69:P82" si="10">ROUND(G$93/F$93*O69,-3)</f>
        <v>18525000</v>
      </c>
      <c r="Q69" s="145">
        <f t="shared" ref="Q69:Q82" si="11">P69+K69</f>
        <v>18943000</v>
      </c>
      <c r="R69" s="146"/>
    </row>
    <row r="70" spans="1:18" x14ac:dyDescent="0.2">
      <c r="A70" s="143" t="s">
        <v>13</v>
      </c>
      <c r="B70" s="144" t="s">
        <v>15</v>
      </c>
      <c r="C70" s="144" t="s">
        <v>15</v>
      </c>
      <c r="D70" s="145">
        <v>139249768.22999999</v>
      </c>
      <c r="E70" s="145">
        <v>146830851.39000005</v>
      </c>
      <c r="F70" s="145">
        <f t="shared" si="7"/>
        <v>169487552.84999999</v>
      </c>
      <c r="G70" s="145">
        <v>82185338.400000006</v>
      </c>
      <c r="H70" s="145">
        <v>72722071.929999992</v>
      </c>
      <c r="I70" s="145">
        <v>14580142.52</v>
      </c>
      <c r="J70" s="145">
        <f t="shared" si="6"/>
        <v>192283776.40307114</v>
      </c>
      <c r="K70" s="145">
        <f t="shared" si="8"/>
        <v>4444000</v>
      </c>
      <c r="L70" s="145">
        <f t="shared" si="9"/>
        <v>364649.65036500542</v>
      </c>
      <c r="M70" s="145">
        <v>99234951</v>
      </c>
      <c r="N70" s="145">
        <v>111976933</v>
      </c>
      <c r="O70" s="145">
        <v>125129745</v>
      </c>
      <c r="P70" s="145">
        <f t="shared" si="10"/>
        <v>133158000</v>
      </c>
      <c r="Q70" s="145">
        <f t="shared" si="11"/>
        <v>137602000</v>
      </c>
      <c r="R70" s="146"/>
    </row>
    <row r="71" spans="1:18" x14ac:dyDescent="0.2">
      <c r="A71" s="143" t="s">
        <v>10</v>
      </c>
      <c r="B71" s="144" t="s">
        <v>95</v>
      </c>
      <c r="C71" s="144" t="s">
        <v>11</v>
      </c>
      <c r="D71" s="145">
        <v>10537256.26</v>
      </c>
      <c r="E71" s="145">
        <v>11204748.069999997</v>
      </c>
      <c r="F71" s="145">
        <f t="shared" si="7"/>
        <v>13026202.620000001</v>
      </c>
      <c r="G71" s="145">
        <v>6306192.9400000004</v>
      </c>
      <c r="H71" s="145">
        <v>5596302.1000000006</v>
      </c>
      <c r="I71" s="145">
        <v>1123707.58</v>
      </c>
      <c r="J71" s="145">
        <f t="shared" si="6"/>
        <v>14778238.22367602</v>
      </c>
      <c r="K71" s="145">
        <f t="shared" si="8"/>
        <v>342000</v>
      </c>
      <c r="L71" s="145">
        <f t="shared" si="9"/>
        <v>28103.948613494515</v>
      </c>
      <c r="M71" s="145">
        <v>5729561</v>
      </c>
      <c r="N71" s="145">
        <v>6387234</v>
      </c>
      <c r="O71" s="145">
        <v>6844868</v>
      </c>
      <c r="P71" s="145">
        <f t="shared" si="10"/>
        <v>7284000</v>
      </c>
      <c r="Q71" s="145">
        <f t="shared" si="11"/>
        <v>7626000</v>
      </c>
      <c r="R71" s="146"/>
    </row>
    <row r="72" spans="1:18" x14ac:dyDescent="0.2">
      <c r="A72" s="143" t="s">
        <v>10</v>
      </c>
      <c r="B72" s="144" t="s">
        <v>226</v>
      </c>
      <c r="C72" s="144" t="s">
        <v>9</v>
      </c>
      <c r="D72" s="145">
        <v>10962023.109999999</v>
      </c>
      <c r="E72" s="145">
        <v>11532273.500000002</v>
      </c>
      <c r="F72" s="145">
        <f t="shared" si="7"/>
        <v>13233320.58</v>
      </c>
      <c r="G72" s="145">
        <v>6396236.6999999993</v>
      </c>
      <c r="H72" s="145">
        <v>5689118.4100000001</v>
      </c>
      <c r="I72" s="145">
        <v>1147965.47</v>
      </c>
      <c r="J72" s="145">
        <f t="shared" si="6"/>
        <v>15013213.729782633</v>
      </c>
      <c r="K72" s="145">
        <f t="shared" si="8"/>
        <v>347000</v>
      </c>
      <c r="L72" s="145">
        <f t="shared" si="9"/>
        <v>28710.638918130353</v>
      </c>
      <c r="M72" s="145">
        <v>4910538</v>
      </c>
      <c r="N72" s="145">
        <v>5199615</v>
      </c>
      <c r="O72" s="145">
        <v>5512487</v>
      </c>
      <c r="P72" s="145">
        <f t="shared" si="10"/>
        <v>5866000</v>
      </c>
      <c r="Q72" s="145">
        <f t="shared" si="11"/>
        <v>6213000</v>
      </c>
      <c r="R72" s="146"/>
    </row>
    <row r="73" spans="1:18" x14ac:dyDescent="0.2">
      <c r="A73" s="143" t="s">
        <v>10</v>
      </c>
      <c r="B73" s="144" t="s">
        <v>227</v>
      </c>
      <c r="C73" s="144" t="s">
        <v>10</v>
      </c>
      <c r="D73" s="145">
        <v>26697695.370000001</v>
      </c>
      <c r="E73" s="145">
        <v>27945753.480000004</v>
      </c>
      <c r="F73" s="145">
        <f t="shared" si="7"/>
        <v>32506668.029999997</v>
      </c>
      <c r="G73" s="145">
        <v>15774167.529999999</v>
      </c>
      <c r="H73" s="145">
        <v>13947945.439999999</v>
      </c>
      <c r="I73" s="145">
        <v>2784555.06</v>
      </c>
      <c r="J73" s="145">
        <f t="shared" si="6"/>
        <v>36878843.206977017</v>
      </c>
      <c r="K73" s="145">
        <f t="shared" si="8"/>
        <v>853000</v>
      </c>
      <c r="L73" s="145">
        <f t="shared" si="9"/>
        <v>69641.776660157542</v>
      </c>
      <c r="M73" s="145">
        <v>9965011</v>
      </c>
      <c r="N73" s="145">
        <v>10761584</v>
      </c>
      <c r="O73" s="145">
        <v>11572848</v>
      </c>
      <c r="P73" s="145">
        <f t="shared" si="10"/>
        <v>12315000</v>
      </c>
      <c r="Q73" s="145">
        <f t="shared" si="11"/>
        <v>13168000</v>
      </c>
      <c r="R73" s="146"/>
    </row>
    <row r="74" spans="1:18" x14ac:dyDescent="0.2">
      <c r="A74" s="143" t="s">
        <v>6</v>
      </c>
      <c r="B74" s="144" t="s">
        <v>228</v>
      </c>
      <c r="C74" s="144" t="s">
        <v>7</v>
      </c>
      <c r="D74" s="145">
        <v>14125706.399999999</v>
      </c>
      <c r="E74" s="145">
        <v>14972905.919999996</v>
      </c>
      <c r="F74" s="145">
        <f t="shared" si="7"/>
        <v>17459719.960000001</v>
      </c>
      <c r="G74" s="145">
        <v>8482090.2200000007</v>
      </c>
      <c r="H74" s="145">
        <v>7480909.9700000007</v>
      </c>
      <c r="I74" s="145">
        <v>1496719.77</v>
      </c>
      <c r="J74" s="145">
        <f t="shared" si="6"/>
        <v>19808067.509359159</v>
      </c>
      <c r="K74" s="145">
        <f t="shared" si="8"/>
        <v>458000</v>
      </c>
      <c r="L74" s="145">
        <f t="shared" si="9"/>
        <v>37432.990800757369</v>
      </c>
      <c r="M74" s="145">
        <v>5273896</v>
      </c>
      <c r="N74" s="145">
        <v>5900249</v>
      </c>
      <c r="O74" s="145">
        <v>6150331</v>
      </c>
      <c r="P74" s="145">
        <f t="shared" si="10"/>
        <v>6545000</v>
      </c>
      <c r="Q74" s="145">
        <f t="shared" si="11"/>
        <v>7003000</v>
      </c>
      <c r="R74" s="146"/>
    </row>
    <row r="75" spans="1:18" x14ac:dyDescent="0.2">
      <c r="A75" s="143" t="s">
        <v>6</v>
      </c>
      <c r="B75" s="144" t="s">
        <v>229</v>
      </c>
      <c r="C75" s="144" t="s">
        <v>8</v>
      </c>
      <c r="D75" s="145">
        <v>13892895.720000001</v>
      </c>
      <c r="E75" s="145">
        <v>15060891.529999999</v>
      </c>
      <c r="F75" s="145">
        <f t="shared" si="7"/>
        <v>17471972.229999997</v>
      </c>
      <c r="G75" s="145">
        <v>8496386.0399999991</v>
      </c>
      <c r="H75" s="145">
        <v>7480250.6999999993</v>
      </c>
      <c r="I75" s="145">
        <v>1495335.49</v>
      </c>
      <c r="J75" s="145">
        <f t="shared" si="6"/>
        <v>19821967.720351022</v>
      </c>
      <c r="K75" s="145">
        <f t="shared" si="8"/>
        <v>458000</v>
      </c>
      <c r="L75" s="145">
        <f t="shared" si="9"/>
        <v>37398.369930809429</v>
      </c>
      <c r="M75" s="145">
        <v>6389409</v>
      </c>
      <c r="N75" s="145">
        <v>7056606</v>
      </c>
      <c r="O75" s="145">
        <v>7486930</v>
      </c>
      <c r="P75" s="145">
        <f t="shared" si="10"/>
        <v>7967000</v>
      </c>
      <c r="Q75" s="145">
        <f t="shared" si="11"/>
        <v>8425000</v>
      </c>
      <c r="R75" s="146"/>
    </row>
    <row r="76" spans="1:18" x14ac:dyDescent="0.2">
      <c r="A76" s="143" t="s">
        <v>6</v>
      </c>
      <c r="B76" s="144" t="s">
        <v>94</v>
      </c>
      <c r="C76" s="144" t="s">
        <v>6</v>
      </c>
      <c r="D76" s="145">
        <v>23065860.200000003</v>
      </c>
      <c r="E76" s="145">
        <v>24391141.540000007</v>
      </c>
      <c r="F76" s="145">
        <f t="shared" si="7"/>
        <v>28257309.460000001</v>
      </c>
      <c r="G76" s="145">
        <v>13684129.219999999</v>
      </c>
      <c r="H76" s="145">
        <v>12141048.780000001</v>
      </c>
      <c r="I76" s="145">
        <v>2432131.46</v>
      </c>
      <c r="J76" s="145">
        <f t="shared" si="6"/>
        <v>32057942.206338409</v>
      </c>
      <c r="K76" s="145">
        <f t="shared" si="8"/>
        <v>741000</v>
      </c>
      <c r="L76" s="145">
        <f t="shared" si="9"/>
        <v>60827.65551256972</v>
      </c>
      <c r="M76" s="145">
        <v>11360132</v>
      </c>
      <c r="N76" s="145">
        <v>12345131</v>
      </c>
      <c r="O76" s="145">
        <v>13422278</v>
      </c>
      <c r="P76" s="145">
        <f t="shared" si="10"/>
        <v>14283000</v>
      </c>
      <c r="Q76" s="145">
        <f t="shared" si="11"/>
        <v>15024000</v>
      </c>
      <c r="R76" s="146"/>
    </row>
    <row r="77" spans="1:18" x14ac:dyDescent="0.2">
      <c r="A77" s="143" t="s">
        <v>6</v>
      </c>
      <c r="B77" s="144" t="s">
        <v>5</v>
      </c>
      <c r="C77" s="144" t="s">
        <v>5</v>
      </c>
      <c r="D77" s="145">
        <v>31011478.400000002</v>
      </c>
      <c r="E77" s="145">
        <v>32814274.939999998</v>
      </c>
      <c r="F77" s="145">
        <f t="shared" si="7"/>
        <v>38027176.5</v>
      </c>
      <c r="G77" s="145">
        <v>18429557.299999997</v>
      </c>
      <c r="H77" s="145">
        <v>16328855.380000003</v>
      </c>
      <c r="I77" s="145">
        <v>3268763.82</v>
      </c>
      <c r="J77" s="145">
        <f t="shared" si="6"/>
        <v>43141864.876870342</v>
      </c>
      <c r="K77" s="145">
        <f t="shared" si="8"/>
        <v>997000</v>
      </c>
      <c r="L77" s="145">
        <f t="shared" si="9"/>
        <v>81751.847243862154</v>
      </c>
      <c r="M77" s="145">
        <v>14920034</v>
      </c>
      <c r="N77" s="145">
        <v>16131893</v>
      </c>
      <c r="O77" s="145">
        <v>17500269</v>
      </c>
      <c r="P77" s="145">
        <f t="shared" si="10"/>
        <v>18623000</v>
      </c>
      <c r="Q77" s="145">
        <f t="shared" si="11"/>
        <v>19620000</v>
      </c>
      <c r="R77" s="146"/>
    </row>
    <row r="78" spans="1:18" x14ac:dyDescent="0.2">
      <c r="A78" s="143" t="s">
        <v>1</v>
      </c>
      <c r="B78" s="144" t="s">
        <v>93</v>
      </c>
      <c r="C78" s="144" t="s">
        <v>4</v>
      </c>
      <c r="D78" s="145">
        <v>7464416.129999998</v>
      </c>
      <c r="E78" s="145">
        <v>7754981.4000000004</v>
      </c>
      <c r="F78" s="145">
        <f t="shared" si="7"/>
        <v>9088745.4100000001</v>
      </c>
      <c r="G78" s="145">
        <v>4401894.97</v>
      </c>
      <c r="H78" s="145">
        <v>3903977.96</v>
      </c>
      <c r="I78" s="145">
        <v>782872.48</v>
      </c>
      <c r="J78" s="145">
        <f t="shared" si="6"/>
        <v>10311189.587754315</v>
      </c>
      <c r="K78" s="145">
        <f t="shared" si="8"/>
        <v>238000</v>
      </c>
      <c r="L78" s="145">
        <f t="shared" si="9"/>
        <v>19579.656078175616</v>
      </c>
      <c r="M78" s="145">
        <v>3328766</v>
      </c>
      <c r="N78" s="145">
        <v>3595461</v>
      </c>
      <c r="O78" s="145">
        <v>3733968</v>
      </c>
      <c r="P78" s="145">
        <f t="shared" si="10"/>
        <v>3974000</v>
      </c>
      <c r="Q78" s="145">
        <f t="shared" si="11"/>
        <v>4212000</v>
      </c>
      <c r="R78" s="146"/>
    </row>
    <row r="79" spans="1:18" x14ac:dyDescent="0.2">
      <c r="A79" s="143" t="s">
        <v>1</v>
      </c>
      <c r="B79" s="144" t="s">
        <v>92</v>
      </c>
      <c r="C79" s="144" t="s">
        <v>3</v>
      </c>
      <c r="D79" s="145">
        <v>9354415.290000001</v>
      </c>
      <c r="E79" s="145">
        <v>10176724.340000004</v>
      </c>
      <c r="F79" s="145">
        <f t="shared" si="7"/>
        <v>11909667.59</v>
      </c>
      <c r="G79" s="145">
        <v>5760999.0600000005</v>
      </c>
      <c r="H79" s="145">
        <v>5115067.78</v>
      </c>
      <c r="I79" s="145">
        <v>1033600.75</v>
      </c>
      <c r="J79" s="145">
        <f t="shared" si="6"/>
        <v>13511528.259170704</v>
      </c>
      <c r="K79" s="145">
        <f t="shared" si="8"/>
        <v>312000</v>
      </c>
      <c r="L79" s="145">
        <f t="shared" si="9"/>
        <v>25850.375028056133</v>
      </c>
      <c r="M79" s="145">
        <v>4253354</v>
      </c>
      <c r="N79" s="145">
        <v>4657652</v>
      </c>
      <c r="O79" s="145">
        <v>5031889</v>
      </c>
      <c r="P79" s="145">
        <f t="shared" si="10"/>
        <v>5355000</v>
      </c>
      <c r="Q79" s="145">
        <f t="shared" si="11"/>
        <v>5667000</v>
      </c>
      <c r="R79" s="146"/>
    </row>
    <row r="80" spans="1:18" x14ac:dyDescent="0.2">
      <c r="A80" s="143" t="s">
        <v>1</v>
      </c>
      <c r="B80" s="144" t="s">
        <v>230</v>
      </c>
      <c r="C80" s="144" t="s">
        <v>2</v>
      </c>
      <c r="D80" s="145">
        <v>5211778.7100000009</v>
      </c>
      <c r="E80" s="145">
        <v>5381869.3299999991</v>
      </c>
      <c r="F80" s="145">
        <f t="shared" si="7"/>
        <v>6167578.2700000005</v>
      </c>
      <c r="G80" s="145">
        <v>2994815.96</v>
      </c>
      <c r="H80" s="145">
        <v>2640466.3100000005</v>
      </c>
      <c r="I80" s="145">
        <v>532296</v>
      </c>
      <c r="J80" s="145">
        <f t="shared" si="6"/>
        <v>6997122.9218625203</v>
      </c>
      <c r="K80" s="145">
        <f t="shared" si="8"/>
        <v>162000</v>
      </c>
      <c r="L80" s="145">
        <f t="shared" si="9"/>
        <v>13312.733399171941</v>
      </c>
      <c r="M80" s="145">
        <v>2309725</v>
      </c>
      <c r="N80" s="145">
        <v>2652407</v>
      </c>
      <c r="O80" s="145">
        <v>2871315</v>
      </c>
      <c r="P80" s="145">
        <f t="shared" si="10"/>
        <v>3056000</v>
      </c>
      <c r="Q80" s="145">
        <f t="shared" si="11"/>
        <v>3218000</v>
      </c>
      <c r="R80" s="146"/>
    </row>
    <row r="81" spans="1:18" x14ac:dyDescent="0.2">
      <c r="A81" s="143" t="s">
        <v>1</v>
      </c>
      <c r="B81" s="144" t="s">
        <v>91</v>
      </c>
      <c r="C81" s="144" t="s">
        <v>1</v>
      </c>
      <c r="D81" s="145">
        <v>16696169.210000001</v>
      </c>
      <c r="E81" s="145">
        <v>17627822.510000002</v>
      </c>
      <c r="F81" s="145">
        <f t="shared" si="7"/>
        <v>20579495.489999998</v>
      </c>
      <c r="G81" s="145">
        <v>9946322.1099999994</v>
      </c>
      <c r="H81" s="145">
        <v>8852152.0099999998</v>
      </c>
      <c r="I81" s="145">
        <v>1781021.37</v>
      </c>
      <c r="J81" s="145">
        <f t="shared" si="6"/>
        <v>23347455.566777159</v>
      </c>
      <c r="K81" s="145">
        <f t="shared" si="8"/>
        <v>539000</v>
      </c>
      <c r="L81" s="145">
        <f t="shared" si="9"/>
        <v>44543.379392364339</v>
      </c>
      <c r="M81" s="145">
        <v>8585187</v>
      </c>
      <c r="N81" s="145">
        <v>9285349</v>
      </c>
      <c r="O81" s="145">
        <v>10021448</v>
      </c>
      <c r="P81" s="145">
        <f t="shared" si="10"/>
        <v>10664000</v>
      </c>
      <c r="Q81" s="145">
        <f t="shared" si="11"/>
        <v>11203000</v>
      </c>
      <c r="R81" s="146"/>
    </row>
    <row r="82" spans="1:18" x14ac:dyDescent="0.2">
      <c r="A82" s="143" t="s">
        <v>1</v>
      </c>
      <c r="B82" s="144" t="s">
        <v>0</v>
      </c>
      <c r="C82" s="144" t="s">
        <v>0</v>
      </c>
      <c r="D82" s="145">
        <v>21435417.510000002</v>
      </c>
      <c r="E82" s="145">
        <v>22637069.839999996</v>
      </c>
      <c r="F82" s="145">
        <f t="shared" si="7"/>
        <v>26097762.050000004</v>
      </c>
      <c r="G82" s="145">
        <v>12698050.300000001</v>
      </c>
      <c r="H82" s="145">
        <v>11168514.610000001</v>
      </c>
      <c r="I82" s="145">
        <v>2231197.14</v>
      </c>
      <c r="J82" s="145">
        <f t="shared" si="6"/>
        <v>29607933.787821848</v>
      </c>
      <c r="K82" s="145">
        <f t="shared" si="8"/>
        <v>685000</v>
      </c>
      <c r="L82" s="145">
        <f t="shared" si="9"/>
        <v>55802.28422872784</v>
      </c>
      <c r="M82" s="145">
        <v>8931689</v>
      </c>
      <c r="N82" s="145">
        <v>9761590</v>
      </c>
      <c r="O82" s="145">
        <v>10636868</v>
      </c>
      <c r="P82" s="145">
        <f t="shared" si="10"/>
        <v>11319000</v>
      </c>
      <c r="Q82" s="145">
        <f t="shared" si="11"/>
        <v>12004000</v>
      </c>
      <c r="R82" s="146"/>
    </row>
    <row r="83" spans="1:18" x14ac:dyDescent="0.2">
      <c r="C83" s="141" t="s">
        <v>463</v>
      </c>
      <c r="D83" s="145">
        <v>745824.82000000007</v>
      </c>
      <c r="E83" s="145">
        <v>1314003.5000000217</v>
      </c>
      <c r="F83" s="145">
        <f t="shared" ref="F83" si="12">SUM(G83:I83)</f>
        <v>1028021.28</v>
      </c>
      <c r="G83" s="145">
        <v>403372.69</v>
      </c>
      <c r="H83" s="145">
        <v>468006.27999999997</v>
      </c>
      <c r="I83" s="145">
        <v>156642.31</v>
      </c>
      <c r="J83" s="145">
        <f t="shared" si="6"/>
        <v>1166291.0379977145</v>
      </c>
      <c r="K83" s="146"/>
      <c r="L83" s="146"/>
      <c r="Q83" s="145"/>
    </row>
    <row r="84" spans="1:18" x14ac:dyDescent="0.2">
      <c r="A84" s="315" t="s">
        <v>149</v>
      </c>
      <c r="B84" s="315"/>
      <c r="C84" s="315"/>
      <c r="D84" s="149">
        <f>SUM(D4:D83)</f>
        <v>2073907242.8900006</v>
      </c>
      <c r="E84" s="149">
        <f t="shared" ref="E84:J84" si="13">SUM(E4:E83)</f>
        <v>2206829572.3000002</v>
      </c>
      <c r="F84" s="149">
        <f t="shared" si="13"/>
        <v>2566050803.27</v>
      </c>
      <c r="G84" s="149">
        <f t="shared" si="13"/>
        <v>1243086451.9400001</v>
      </c>
      <c r="H84" s="149">
        <f t="shared" si="13"/>
        <v>1101969679.3399999</v>
      </c>
      <c r="I84" s="149">
        <f t="shared" si="13"/>
        <v>220994671.98999995</v>
      </c>
      <c r="J84" s="149">
        <f t="shared" si="13"/>
        <v>2911186872.4163346</v>
      </c>
      <c r="K84" s="149">
        <f t="shared" ref="K84:Q84" si="14">SUM(K4:K82)</f>
        <v>67259000</v>
      </c>
      <c r="L84" s="149">
        <f t="shared" si="14"/>
        <v>5523163.4532821206</v>
      </c>
      <c r="M84" s="149">
        <f t="shared" si="14"/>
        <v>1354992073</v>
      </c>
      <c r="N84" s="149">
        <f t="shared" si="14"/>
        <v>1525688250</v>
      </c>
      <c r="O84" s="149">
        <f t="shared" si="14"/>
        <v>1688520925</v>
      </c>
      <c r="P84" s="149">
        <f t="shared" si="14"/>
        <v>1796852000</v>
      </c>
      <c r="Q84" s="149">
        <f t="shared" si="14"/>
        <v>1864111000</v>
      </c>
      <c r="R84" s="146"/>
    </row>
    <row r="85" spans="1:18" x14ac:dyDescent="0.2">
      <c r="C85" s="141" t="s">
        <v>464</v>
      </c>
      <c r="D85" s="141">
        <f>D84/SUM(D4:D82)</f>
        <v>1.0003597524117027</v>
      </c>
      <c r="E85" s="141">
        <f>E84/SUM(E4:E82)</f>
        <v>1.0005957806503787</v>
      </c>
      <c r="F85" s="141">
        <f>F84/SUM(F4:F82)</f>
        <v>1.0004007844636773</v>
      </c>
      <c r="J85" s="141">
        <f>J84/SUM(J4:J82)</f>
        <v>1.0004007844636773</v>
      </c>
    </row>
    <row r="86" spans="1:18" x14ac:dyDescent="0.2">
      <c r="G86" s="146"/>
      <c r="H86" s="146"/>
      <c r="I86" s="146"/>
    </row>
    <row r="88" spans="1:18" ht="25.5" x14ac:dyDescent="0.2">
      <c r="C88" s="150" t="s">
        <v>465</v>
      </c>
      <c r="D88" s="151">
        <v>2021</v>
      </c>
      <c r="E88" s="151">
        <v>2022</v>
      </c>
      <c r="F88" s="151">
        <v>2023</v>
      </c>
      <c r="G88" s="151">
        <v>2024</v>
      </c>
      <c r="H88" s="141" t="s">
        <v>466</v>
      </c>
      <c r="I88" s="146"/>
      <c r="J88" s="146"/>
      <c r="M88" s="152" t="s">
        <v>467</v>
      </c>
    </row>
    <row r="89" spans="1:18" x14ac:dyDescent="0.2">
      <c r="C89" s="141" t="s">
        <v>468</v>
      </c>
      <c r="E89" s="146">
        <v>2207811712.9700003</v>
      </c>
      <c r="F89" s="146">
        <v>2569399922.0700889</v>
      </c>
      <c r="G89" s="146">
        <v>2914986450.613523</v>
      </c>
      <c r="H89" s="153">
        <f>G89/F89-1</f>
        <v>0.13450087141942668</v>
      </c>
      <c r="I89" s="146"/>
      <c r="J89" s="146"/>
      <c r="M89" s="152" t="s">
        <v>469</v>
      </c>
    </row>
    <row r="90" spans="1:18" x14ac:dyDescent="0.2">
      <c r="H90" s="154"/>
    </row>
    <row r="91" spans="1:18" x14ac:dyDescent="0.2">
      <c r="C91" s="141" t="s">
        <v>470</v>
      </c>
      <c r="D91" s="155">
        <v>1354.9920729999999</v>
      </c>
      <c r="E91" s="156">
        <v>1525.6882500000002</v>
      </c>
      <c r="F91" s="156">
        <v>1700.5</v>
      </c>
      <c r="G91" s="156">
        <v>1876.4</v>
      </c>
      <c r="H91" s="153">
        <f>G91/F91-1</f>
        <v>0.10344016465745365</v>
      </c>
    </row>
    <row r="92" spans="1:18" x14ac:dyDescent="0.2">
      <c r="C92" s="141" t="s">
        <v>471</v>
      </c>
      <c r="D92" s="141">
        <v>0</v>
      </c>
      <c r="E92" s="141">
        <v>0</v>
      </c>
      <c r="F92" s="141">
        <v>0</v>
      </c>
      <c r="G92" s="141">
        <v>66.8</v>
      </c>
      <c r="H92" s="153"/>
    </row>
    <row r="93" spans="1:18" x14ac:dyDescent="0.2">
      <c r="C93" s="141" t="s">
        <v>472</v>
      </c>
      <c r="D93" s="156">
        <f t="shared" ref="D93:F93" si="15">D91-D92</f>
        <v>1354.9920729999999</v>
      </c>
      <c r="E93" s="156">
        <f t="shared" si="15"/>
        <v>1525.6882500000002</v>
      </c>
      <c r="F93" s="156">
        <f t="shared" si="15"/>
        <v>1700.5</v>
      </c>
      <c r="G93" s="156">
        <f>G91-G92</f>
        <v>1809.6000000000001</v>
      </c>
      <c r="H93" s="153">
        <f t="shared" ref="H93:H94" si="16">G93/F93-1</f>
        <v>6.4157600705674778E-2</v>
      </c>
    </row>
    <row r="94" spans="1:18" x14ac:dyDescent="0.2">
      <c r="C94" s="141" t="s">
        <v>473</v>
      </c>
      <c r="F94" s="157">
        <f>O84/1000000</f>
        <v>1688.520925</v>
      </c>
      <c r="G94" s="157">
        <f>P84/1000000</f>
        <v>1796.8520000000001</v>
      </c>
      <c r="H94" s="153">
        <f t="shared" si="16"/>
        <v>6.4157377854230591E-2</v>
      </c>
    </row>
    <row r="97" spans="6:8" x14ac:dyDescent="0.2">
      <c r="G97" s="157">
        <f>G94/(0.1189*11/12+0.1196*1/12)</f>
        <v>15104.885464098073</v>
      </c>
      <c r="H97" s="153"/>
    </row>
    <row r="98" spans="6:8" x14ac:dyDescent="0.2">
      <c r="F98" s="141" t="s">
        <v>474</v>
      </c>
      <c r="G98" s="156">
        <f>G97*0.1196</f>
        <v>1806.5443015061296</v>
      </c>
    </row>
  </sheetData>
  <mergeCells count="18">
    <mergeCell ref="M1:P1"/>
    <mergeCell ref="P2:P3"/>
    <mergeCell ref="A84:C84"/>
    <mergeCell ref="A1:A3"/>
    <mergeCell ref="B1:B3"/>
    <mergeCell ref="C1:C3"/>
    <mergeCell ref="Q1:Q3"/>
    <mergeCell ref="D2:D3"/>
    <mergeCell ref="E2:E3"/>
    <mergeCell ref="F2:I2"/>
    <mergeCell ref="J2:J3"/>
    <mergeCell ref="K2:K3"/>
    <mergeCell ref="L2:L3"/>
    <mergeCell ref="M2:M3"/>
    <mergeCell ref="N2:N3"/>
    <mergeCell ref="O2:O3"/>
    <mergeCell ref="D1:J1"/>
    <mergeCell ref="K1:L1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F62F6-F4A7-4CAF-A971-02AAB435535F}">
  <dimension ref="A1:J79"/>
  <sheetViews>
    <sheetView topLeftCell="B1" workbookViewId="0">
      <selection activeCell="G18" sqref="G18"/>
    </sheetView>
  </sheetViews>
  <sheetFormatPr defaultColWidth="8.7109375" defaultRowHeight="15" x14ac:dyDescent="0.25"/>
  <cols>
    <col min="1" max="1" width="0" style="112" hidden="1" customWidth="1"/>
    <col min="2" max="2" width="23.42578125" style="112" bestFit="1" customWidth="1"/>
    <col min="3" max="3" width="7.7109375" style="112" customWidth="1"/>
    <col min="4" max="4" width="13.28515625" style="112" customWidth="1"/>
    <col min="5" max="5" width="6.5703125" style="112" customWidth="1"/>
    <col min="6" max="6" width="11.28515625" style="112" bestFit="1" customWidth="1"/>
    <col min="7" max="16384" width="8.7109375" style="112"/>
  </cols>
  <sheetData>
    <row r="1" spans="1:10" ht="27.6" customHeight="1" x14ac:dyDescent="0.25">
      <c r="A1" s="112" t="s">
        <v>218</v>
      </c>
      <c r="B1" s="134" t="s">
        <v>218</v>
      </c>
      <c r="C1" s="135" t="s">
        <v>449</v>
      </c>
      <c r="D1" s="136" t="s">
        <v>450</v>
      </c>
      <c r="E1" s="136" t="s">
        <v>451</v>
      </c>
      <c r="F1" s="135" t="s">
        <v>350</v>
      </c>
    </row>
    <row r="2" spans="1:10" x14ac:dyDescent="0.25">
      <c r="A2" s="112" t="s">
        <v>138</v>
      </c>
      <c r="B2" s="137" t="s">
        <v>143</v>
      </c>
      <c r="C2" s="137">
        <f>VLOOKUP($B$1,Tasandusfond!$B$4:$X$82,11,FALSE)</f>
        <v>213</v>
      </c>
      <c r="D2" s="137"/>
      <c r="E2" s="138">
        <f>Tasandusfond!M87</f>
        <v>3990.9134094267811</v>
      </c>
      <c r="F2" s="138">
        <f>C2*E2</f>
        <v>850064.55620790436</v>
      </c>
    </row>
    <row r="3" spans="1:10" x14ac:dyDescent="0.25">
      <c r="A3" s="112" t="s">
        <v>93</v>
      </c>
      <c r="B3" s="137" t="s">
        <v>142</v>
      </c>
      <c r="C3" s="137">
        <f>VLOOKUP($B$1,Tasandusfond!$B$4:$X$82,12,FALSE)</f>
        <v>519</v>
      </c>
      <c r="D3" s="137"/>
      <c r="E3" s="138">
        <f>Tasandusfond!M88</f>
        <v>648.27645116888118</v>
      </c>
      <c r="F3" s="138">
        <f t="shared" ref="F3:F12" si="0">C3*E3</f>
        <v>336455.47815664933</v>
      </c>
    </row>
    <row r="4" spans="1:10" x14ac:dyDescent="0.25">
      <c r="A4" s="112" t="s">
        <v>224</v>
      </c>
      <c r="B4" s="137" t="s">
        <v>141</v>
      </c>
      <c r="C4" s="137">
        <f>VLOOKUP($B$1,Tasandusfond!$B$4:$X$82,13,FALSE)</f>
        <v>386</v>
      </c>
      <c r="D4" s="175">
        <f>VLOOKUP($B$1,Tasandusfond!$B$4:$X$82,19,FALSE)</f>
        <v>2.0699999999999998</v>
      </c>
      <c r="E4" s="138">
        <f>Tasandusfond!M89</f>
        <v>1652.2107873016173</v>
      </c>
      <c r="F4" s="138">
        <f>C4*E4*((D4-1)*0.75+1)+C4*D4*Tasandusfond!M90</f>
        <v>1157828.2856269097</v>
      </c>
    </row>
    <row r="5" spans="1:10" x14ac:dyDescent="0.25">
      <c r="A5" s="112" t="s">
        <v>48</v>
      </c>
      <c r="B5" s="137" t="s">
        <v>140</v>
      </c>
      <c r="C5" s="137">
        <f>VLOOKUP($B$1,Tasandusfond!$B$4:$X$82,14,FALSE)</f>
        <v>2709</v>
      </c>
      <c r="D5" s="137"/>
      <c r="E5" s="138">
        <f>Tasandusfond!M92</f>
        <v>615.83809894879778</v>
      </c>
      <c r="F5" s="138">
        <f t="shared" si="0"/>
        <v>1668305.4100522932</v>
      </c>
    </row>
    <row r="6" spans="1:10" x14ac:dyDescent="0.25">
      <c r="A6" s="112" t="s">
        <v>120</v>
      </c>
      <c r="B6" s="137" t="s">
        <v>180</v>
      </c>
      <c r="C6" s="137">
        <f>VLOOKUP($B$1,Tasandusfond!$B$4:$X$82,15,FALSE)</f>
        <v>1129</v>
      </c>
      <c r="D6" s="137"/>
      <c r="E6" s="138">
        <f>Tasandusfond!M93</f>
        <v>868.86502334121337</v>
      </c>
      <c r="F6" s="138">
        <f t="shared" si="0"/>
        <v>980948.61135222984</v>
      </c>
    </row>
    <row r="7" spans="1:10" x14ac:dyDescent="0.25">
      <c r="A7" s="112" t="s">
        <v>137</v>
      </c>
      <c r="B7" s="137" t="s">
        <v>424</v>
      </c>
      <c r="C7" s="137">
        <f>VLOOKUP($B$1,Tasandusfond!$B$4:$X$82,16,FALSE)</f>
        <v>957</v>
      </c>
      <c r="D7" s="137"/>
      <c r="E7" s="138">
        <f>Tasandusfond!M94</f>
        <v>128</v>
      </c>
      <c r="F7" s="138">
        <f t="shared" si="0"/>
        <v>122496</v>
      </c>
    </row>
    <row r="8" spans="1:10" x14ac:dyDescent="0.25">
      <c r="A8" s="112" t="s">
        <v>217</v>
      </c>
      <c r="B8" s="137" t="s">
        <v>425</v>
      </c>
      <c r="C8" s="137">
        <f>VLOOKUP($B$1,Tasandusfond!$B$4:$X$82,17,FALSE)</f>
        <v>172</v>
      </c>
      <c r="D8" s="137"/>
      <c r="E8" s="138">
        <f>Tasandusfond!M95</f>
        <v>620.79999999999995</v>
      </c>
      <c r="F8" s="138">
        <f t="shared" si="0"/>
        <v>106777.59999999999</v>
      </c>
    </row>
    <row r="9" spans="1:10" x14ac:dyDescent="0.25">
      <c r="A9" s="112" t="s">
        <v>110</v>
      </c>
      <c r="B9" s="164" t="s">
        <v>483</v>
      </c>
      <c r="C9" s="137">
        <f>VLOOKUP($B$1,Tasandusfond!$B$4:$X$82,20,FALSE)</f>
        <v>40</v>
      </c>
      <c r="D9" s="175">
        <f>VLOOKUP($B$1,Tasandusfond!$B$4:$X$82,19,FALSE)</f>
        <v>2.0699999999999998</v>
      </c>
      <c r="E9" s="138">
        <f>Tasandusfond!M91</f>
        <v>1652.2107873016173</v>
      </c>
      <c r="F9" s="138">
        <f>C9*E9*((D9-1)*0.75+1)</f>
        <v>119124.39776444658</v>
      </c>
    </row>
    <row r="10" spans="1:10" x14ac:dyDescent="0.25">
      <c r="A10" s="112" t="s">
        <v>136</v>
      </c>
      <c r="B10" s="164" t="s">
        <v>484</v>
      </c>
      <c r="C10" s="137">
        <f>VLOOKUP($B$1,Tasandusfond!$B$4:$X$82,21,FALSE)</f>
        <v>0</v>
      </c>
      <c r="D10" s="137"/>
      <c r="E10" s="138">
        <f>Tasandusfond!M98</f>
        <v>351.37034434293747</v>
      </c>
      <c r="F10" s="138">
        <f t="shared" si="0"/>
        <v>0</v>
      </c>
    </row>
    <row r="11" spans="1:10" x14ac:dyDescent="0.25">
      <c r="A11" s="112" t="s">
        <v>125</v>
      </c>
      <c r="B11" s="137" t="s">
        <v>415</v>
      </c>
      <c r="C11" s="137">
        <f>VLOOKUP($B$1,Tasandusfond!$B$4:$X$82,22,FALSE)</f>
        <v>1</v>
      </c>
      <c r="D11" s="137"/>
      <c r="E11" s="138">
        <f>Tasandusfond!M99</f>
        <v>23643.332999999999</v>
      </c>
      <c r="F11" s="138">
        <f t="shared" si="0"/>
        <v>23643.332999999999</v>
      </c>
    </row>
    <row r="12" spans="1:10" x14ac:dyDescent="0.25">
      <c r="A12" s="112" t="s">
        <v>127</v>
      </c>
      <c r="B12" s="137" t="s">
        <v>416</v>
      </c>
      <c r="C12" s="137">
        <f>VLOOKUP($B$1,Tasandusfond!$B$4:$X$82,23,FALSE)</f>
        <v>0</v>
      </c>
      <c r="D12" s="137"/>
      <c r="E12" s="138">
        <f>E11*0.5</f>
        <v>11821.666499999999</v>
      </c>
      <c r="F12" s="138">
        <f t="shared" si="0"/>
        <v>0</v>
      </c>
    </row>
    <row r="13" spans="1:10" x14ac:dyDescent="0.25">
      <c r="A13" s="112" t="s">
        <v>220</v>
      </c>
      <c r="B13" s="336" t="s">
        <v>452</v>
      </c>
      <c r="C13" s="337"/>
      <c r="D13" s="337"/>
      <c r="E13" s="337"/>
      <c r="F13" s="139">
        <f>SUM(F2:F12)</f>
        <v>5365643.6721604317</v>
      </c>
      <c r="G13" s="140">
        <f>VLOOKUP($B$1,Tasandusfond!$B$4:$AC$82,24,FALSE)-F13</f>
        <v>0</v>
      </c>
      <c r="J13" s="140"/>
    </row>
    <row r="14" spans="1:10" x14ac:dyDescent="0.25">
      <c r="A14" s="112" t="s">
        <v>119</v>
      </c>
      <c r="B14" s="336" t="s">
        <v>453</v>
      </c>
      <c r="C14" s="337"/>
      <c r="D14" s="337"/>
      <c r="E14" s="337"/>
      <c r="F14" s="139">
        <f>VLOOKUP($B$1,Tasandusfond!$B$4:$AC$82,10,FALSE)</f>
        <v>5023275.244863688</v>
      </c>
      <c r="G14" s="140">
        <f>VLOOKUP($B$1,Tasandusfond!$B$4:$AC$82,10,FALSE)-F14</f>
        <v>0</v>
      </c>
      <c r="J14" s="140"/>
    </row>
    <row r="15" spans="1:10" x14ac:dyDescent="0.25">
      <c r="A15" s="112" t="s">
        <v>100</v>
      </c>
      <c r="B15" s="336" t="s">
        <v>454</v>
      </c>
      <c r="C15" s="337"/>
      <c r="D15" s="337"/>
      <c r="E15" s="337"/>
      <c r="F15" s="139">
        <f>IF(F14&gt;F13,0,(F13-F14)*0.9)</f>
        <v>308131.58456706937</v>
      </c>
      <c r="G15" s="140">
        <f>VLOOKUP($B$1,Tasandusfond!$B$4:$AC$82,26,FALSE)-F15</f>
        <v>0.41543293063296005</v>
      </c>
      <c r="J15" s="140"/>
    </row>
    <row r="16" spans="1:10" x14ac:dyDescent="0.25">
      <c r="A16" s="112" t="s">
        <v>113</v>
      </c>
    </row>
    <row r="17" spans="1:1" x14ac:dyDescent="0.25">
      <c r="A17" s="112" t="s">
        <v>225</v>
      </c>
    </row>
    <row r="18" spans="1:1" x14ac:dyDescent="0.25">
      <c r="A18" s="112" t="s">
        <v>106</v>
      </c>
    </row>
    <row r="19" spans="1:1" x14ac:dyDescent="0.25">
      <c r="A19" s="112" t="s">
        <v>81</v>
      </c>
    </row>
    <row r="20" spans="1:1" x14ac:dyDescent="0.25">
      <c r="A20" s="112" t="s">
        <v>109</v>
      </c>
    </row>
    <row r="21" spans="1:1" x14ac:dyDescent="0.25">
      <c r="A21" s="112" t="s">
        <v>135</v>
      </c>
    </row>
    <row r="22" spans="1:1" x14ac:dyDescent="0.25">
      <c r="A22" s="112" t="s">
        <v>105</v>
      </c>
    </row>
    <row r="23" spans="1:1" x14ac:dyDescent="0.25">
      <c r="A23" s="112" t="s">
        <v>57</v>
      </c>
    </row>
    <row r="24" spans="1:1" x14ac:dyDescent="0.25">
      <c r="A24" s="112" t="s">
        <v>134</v>
      </c>
    </row>
    <row r="25" spans="1:1" x14ac:dyDescent="0.25">
      <c r="A25" s="112" t="s">
        <v>133</v>
      </c>
    </row>
    <row r="26" spans="1:1" x14ac:dyDescent="0.25">
      <c r="A26" s="112" t="s">
        <v>83</v>
      </c>
    </row>
    <row r="27" spans="1:1" x14ac:dyDescent="0.25">
      <c r="A27" s="112" t="s">
        <v>99</v>
      </c>
    </row>
    <row r="28" spans="1:1" x14ac:dyDescent="0.25">
      <c r="A28" s="112" t="s">
        <v>231</v>
      </c>
    </row>
    <row r="29" spans="1:1" x14ac:dyDescent="0.25">
      <c r="A29" s="112" t="s">
        <v>122</v>
      </c>
    </row>
    <row r="30" spans="1:1" x14ac:dyDescent="0.25">
      <c r="A30" s="112" t="s">
        <v>221</v>
      </c>
    </row>
    <row r="31" spans="1:1" x14ac:dyDescent="0.25">
      <c r="A31" s="112" t="s">
        <v>126</v>
      </c>
    </row>
    <row r="32" spans="1:1" x14ac:dyDescent="0.25">
      <c r="A32" s="112" t="s">
        <v>68</v>
      </c>
    </row>
    <row r="33" spans="1:1" x14ac:dyDescent="0.25">
      <c r="A33" s="112" t="s">
        <v>102</v>
      </c>
    </row>
    <row r="34" spans="1:1" x14ac:dyDescent="0.25">
      <c r="A34" s="112" t="s">
        <v>228</v>
      </c>
    </row>
    <row r="35" spans="1:1" x14ac:dyDescent="0.25">
      <c r="A35" s="112" t="s">
        <v>219</v>
      </c>
    </row>
    <row r="36" spans="1:1" x14ac:dyDescent="0.25">
      <c r="A36" s="112" t="s">
        <v>104</v>
      </c>
    </row>
    <row r="37" spans="1:1" x14ac:dyDescent="0.25">
      <c r="A37" s="112" t="s">
        <v>59</v>
      </c>
    </row>
    <row r="38" spans="1:1" x14ac:dyDescent="0.25">
      <c r="A38" s="112" t="s">
        <v>62</v>
      </c>
    </row>
    <row r="39" spans="1:1" x14ac:dyDescent="0.25">
      <c r="A39" s="112" t="s">
        <v>98</v>
      </c>
    </row>
    <row r="40" spans="1:1" x14ac:dyDescent="0.25">
      <c r="A40" s="112" t="s">
        <v>95</v>
      </c>
    </row>
    <row r="41" spans="1:1" x14ac:dyDescent="0.25">
      <c r="A41" s="112" t="s">
        <v>51</v>
      </c>
    </row>
    <row r="42" spans="1:1" x14ac:dyDescent="0.25">
      <c r="A42" s="112" t="s">
        <v>97</v>
      </c>
    </row>
    <row r="43" spans="1:1" x14ac:dyDescent="0.25">
      <c r="A43" s="112" t="s">
        <v>222</v>
      </c>
    </row>
    <row r="44" spans="1:1" x14ac:dyDescent="0.25">
      <c r="A44" s="112" t="s">
        <v>229</v>
      </c>
    </row>
    <row r="45" spans="1:1" x14ac:dyDescent="0.25">
      <c r="A45" s="112" t="s">
        <v>124</v>
      </c>
    </row>
    <row r="46" spans="1:1" x14ac:dyDescent="0.25">
      <c r="A46" s="112" t="s">
        <v>112</v>
      </c>
    </row>
    <row r="47" spans="1:1" x14ac:dyDescent="0.25">
      <c r="A47" s="112" t="s">
        <v>30</v>
      </c>
    </row>
    <row r="48" spans="1:1" x14ac:dyDescent="0.25">
      <c r="A48" s="112" t="s">
        <v>132</v>
      </c>
    </row>
    <row r="49" spans="1:1" x14ac:dyDescent="0.25">
      <c r="A49" s="112" t="s">
        <v>131</v>
      </c>
    </row>
    <row r="50" spans="1:1" x14ac:dyDescent="0.25">
      <c r="A50" s="112" t="s">
        <v>37</v>
      </c>
    </row>
    <row r="51" spans="1:1" x14ac:dyDescent="0.25">
      <c r="A51" s="112" t="s">
        <v>118</v>
      </c>
    </row>
    <row r="52" spans="1:1" x14ac:dyDescent="0.25">
      <c r="A52" s="112" t="s">
        <v>103</v>
      </c>
    </row>
    <row r="53" spans="1:1" x14ac:dyDescent="0.25">
      <c r="A53" s="112" t="s">
        <v>101</v>
      </c>
    </row>
    <row r="54" spans="1:1" x14ac:dyDescent="0.25">
      <c r="A54" s="112" t="s">
        <v>92</v>
      </c>
    </row>
    <row r="55" spans="1:1" x14ac:dyDescent="0.25">
      <c r="A55" s="112" t="s">
        <v>111</v>
      </c>
    </row>
    <row r="56" spans="1:1" x14ac:dyDescent="0.25">
      <c r="A56" s="112" t="s">
        <v>108</v>
      </c>
    </row>
    <row r="57" spans="1:1" x14ac:dyDescent="0.25">
      <c r="A57" s="112" t="s">
        <v>223</v>
      </c>
    </row>
    <row r="58" spans="1:1" x14ac:dyDescent="0.25">
      <c r="A58" s="112" t="s">
        <v>130</v>
      </c>
    </row>
    <row r="59" spans="1:1" x14ac:dyDescent="0.25">
      <c r="A59" s="112" t="s">
        <v>129</v>
      </c>
    </row>
    <row r="60" spans="1:1" x14ac:dyDescent="0.25">
      <c r="A60" s="112" t="s">
        <v>230</v>
      </c>
    </row>
    <row r="61" spans="1:1" x14ac:dyDescent="0.25">
      <c r="A61" s="112" t="s">
        <v>61</v>
      </c>
    </row>
    <row r="62" spans="1:1" x14ac:dyDescent="0.25">
      <c r="A62" s="112" t="s">
        <v>213</v>
      </c>
    </row>
    <row r="63" spans="1:1" x14ac:dyDescent="0.25">
      <c r="A63" s="112" t="s">
        <v>117</v>
      </c>
    </row>
    <row r="64" spans="1:1" x14ac:dyDescent="0.25">
      <c r="A64" s="112" t="s">
        <v>15</v>
      </c>
    </row>
    <row r="65" spans="1:1" x14ac:dyDescent="0.25">
      <c r="A65" s="112" t="s">
        <v>96</v>
      </c>
    </row>
    <row r="66" spans="1:1" x14ac:dyDescent="0.25">
      <c r="A66" s="112" t="s">
        <v>64</v>
      </c>
    </row>
    <row r="67" spans="1:1" x14ac:dyDescent="0.25">
      <c r="A67" s="112" t="s">
        <v>107</v>
      </c>
    </row>
    <row r="68" spans="1:1" x14ac:dyDescent="0.25">
      <c r="A68" s="112" t="s">
        <v>226</v>
      </c>
    </row>
    <row r="69" spans="1:1" x14ac:dyDescent="0.25">
      <c r="A69" s="112" t="s">
        <v>123</v>
      </c>
    </row>
    <row r="70" spans="1:1" x14ac:dyDescent="0.25">
      <c r="A70" s="112" t="s">
        <v>227</v>
      </c>
    </row>
    <row r="71" spans="1:1" x14ac:dyDescent="0.25">
      <c r="A71" s="112" t="s">
        <v>128</v>
      </c>
    </row>
    <row r="72" spans="1:1" x14ac:dyDescent="0.25">
      <c r="A72" s="112" t="s">
        <v>5</v>
      </c>
    </row>
    <row r="73" spans="1:1" x14ac:dyDescent="0.25">
      <c r="A73" s="112" t="s">
        <v>94</v>
      </c>
    </row>
    <row r="74" spans="1:1" x14ac:dyDescent="0.25">
      <c r="A74" s="112" t="s">
        <v>116</v>
      </c>
    </row>
    <row r="75" spans="1:1" x14ac:dyDescent="0.25">
      <c r="A75" s="112" t="s">
        <v>115</v>
      </c>
    </row>
    <row r="76" spans="1:1" x14ac:dyDescent="0.25">
      <c r="A76" s="112" t="s">
        <v>121</v>
      </c>
    </row>
    <row r="77" spans="1:1" x14ac:dyDescent="0.25">
      <c r="A77" s="112" t="s">
        <v>0</v>
      </c>
    </row>
    <row r="78" spans="1:1" x14ac:dyDescent="0.25">
      <c r="A78" s="112" t="s">
        <v>91</v>
      </c>
    </row>
    <row r="79" spans="1:1" x14ac:dyDescent="0.25">
      <c r="A79" s="112" t="s">
        <v>114</v>
      </c>
    </row>
  </sheetData>
  <sortState xmlns:xlrd2="http://schemas.microsoft.com/office/spreadsheetml/2017/richdata2" ref="A1:A79">
    <sortCondition ref="A1:A79"/>
  </sortState>
  <mergeCells count="3">
    <mergeCell ref="B13:E13"/>
    <mergeCell ref="B14:E14"/>
    <mergeCell ref="B15:E15"/>
  </mergeCells>
  <dataValidations count="1">
    <dataValidation type="list" allowBlank="1" showInputMessage="1" showErrorMessage="1" sqref="B1" xr:uid="{22FD3547-6110-4968-B364-6EFB75910B9C}">
      <formula1>$A$1:$A$79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E591-D050-4CEB-9FD7-26D75D4B0DA7}">
  <dimension ref="A1:G83"/>
  <sheetViews>
    <sheetView workbookViewId="0">
      <pane xSplit="2" ySplit="3" topLeftCell="C55" activePane="bottomRight" state="frozen"/>
      <selection activeCell="H86" sqref="H86"/>
      <selection pane="topRight" activeCell="H86" sqref="H86"/>
      <selection pane="bottomLeft" activeCell="H86" sqref="H86"/>
      <selection pane="bottomRight" activeCell="H86" sqref="H86"/>
    </sheetView>
  </sheetViews>
  <sheetFormatPr defaultColWidth="8.7109375" defaultRowHeight="15" x14ac:dyDescent="0.25"/>
  <cols>
    <col min="1" max="1" width="9.42578125" style="112" bestFit="1" customWidth="1"/>
    <col min="2" max="2" width="18.7109375" style="112" customWidth="1"/>
    <col min="3" max="3" width="12.7109375" style="112" customWidth="1"/>
    <col min="4" max="4" width="13.28515625" style="112" bestFit="1" customWidth="1"/>
    <col min="5" max="5" width="19.42578125" style="112" bestFit="1" customWidth="1"/>
    <col min="6" max="6" width="15.7109375" style="112" bestFit="1" customWidth="1"/>
    <col min="7" max="7" width="9.7109375" style="112" bestFit="1" customWidth="1"/>
    <col min="8" max="16384" width="8.7109375" style="112"/>
  </cols>
  <sheetData>
    <row r="1" spans="1:7" x14ac:dyDescent="0.25">
      <c r="A1" s="316" t="s">
        <v>148</v>
      </c>
      <c r="B1" s="316" t="s">
        <v>147</v>
      </c>
      <c r="C1" s="338" t="s">
        <v>475</v>
      </c>
      <c r="D1" s="338"/>
      <c r="E1" s="338"/>
      <c r="F1" s="338"/>
      <c r="G1" s="338"/>
    </row>
    <row r="2" spans="1:7" x14ac:dyDescent="0.25">
      <c r="A2" s="316"/>
      <c r="B2" s="316"/>
      <c r="C2" s="339" t="s">
        <v>476</v>
      </c>
      <c r="D2" s="338" t="s">
        <v>477</v>
      </c>
      <c r="E2" s="338"/>
      <c r="F2" s="338"/>
      <c r="G2" s="339" t="s">
        <v>149</v>
      </c>
    </row>
    <row r="3" spans="1:7" x14ac:dyDescent="0.25">
      <c r="A3" s="316"/>
      <c r="B3" s="316"/>
      <c r="C3" s="339"/>
      <c r="D3" s="158" t="s">
        <v>478</v>
      </c>
      <c r="E3" s="158" t="s">
        <v>479</v>
      </c>
      <c r="F3" s="158" t="s">
        <v>480</v>
      </c>
      <c r="G3" s="339"/>
    </row>
    <row r="4" spans="1:7" x14ac:dyDescent="0.25">
      <c r="A4" s="143" t="s">
        <v>69</v>
      </c>
      <c r="B4" s="144" t="s">
        <v>138</v>
      </c>
      <c r="C4" s="138">
        <f>ROUND('Tulumaks 2021-2024'!K4/2.5*1.88,-3)</f>
        <v>254000</v>
      </c>
      <c r="D4" s="138">
        <f>Tasandusfond!AY4/Tasandusfond!AY$83*Tasandusfond!AY$84</f>
        <v>22925.467142961992</v>
      </c>
      <c r="E4" s="138">
        <f>Tasandusfond!AS4</f>
        <v>0</v>
      </c>
      <c r="F4" s="138">
        <f>Tasandusfond!AX4</f>
        <v>0</v>
      </c>
      <c r="G4" s="138">
        <f>SUM(C4:F4)</f>
        <v>276925.46714296198</v>
      </c>
    </row>
    <row r="5" spans="1:7" x14ac:dyDescent="0.25">
      <c r="A5" s="143" t="s">
        <v>69</v>
      </c>
      <c r="B5" s="144" t="s">
        <v>137</v>
      </c>
      <c r="C5" s="138">
        <f>ROUND('Tulumaks 2021-2024'!K5/2.5*1.88,-3)</f>
        <v>427000</v>
      </c>
      <c r="D5" s="138">
        <f>Tasandusfond!AY5/Tasandusfond!AY$83*Tasandusfond!AY$84</f>
        <v>38932.58445195642</v>
      </c>
      <c r="E5" s="138">
        <f>Tasandusfond!AS5</f>
        <v>0</v>
      </c>
      <c r="F5" s="138">
        <f>Tasandusfond!AX5</f>
        <v>0</v>
      </c>
      <c r="G5" s="138">
        <f t="shared" ref="G5:G68" si="0">SUM(C5:F5)</f>
        <v>465932.58445195644</v>
      </c>
    </row>
    <row r="6" spans="1:7" x14ac:dyDescent="0.25">
      <c r="A6" s="143" t="s">
        <v>69</v>
      </c>
      <c r="B6" s="144" t="s">
        <v>136</v>
      </c>
      <c r="C6" s="138">
        <f>ROUND('Tulumaks 2021-2024'!K6/2.5*1.88,-3)</f>
        <v>228000</v>
      </c>
      <c r="D6" s="138">
        <f>Tasandusfond!AY6/Tasandusfond!AY$83*Tasandusfond!AY$84</f>
        <v>20684.939450145273</v>
      </c>
      <c r="E6" s="138">
        <f>Tasandusfond!AS6</f>
        <v>0</v>
      </c>
      <c r="F6" s="138">
        <f>Tasandusfond!AX6</f>
        <v>0</v>
      </c>
      <c r="G6" s="138">
        <f t="shared" si="0"/>
        <v>248684.93945014526</v>
      </c>
    </row>
    <row r="7" spans="1:7" x14ac:dyDescent="0.25">
      <c r="A7" s="143" t="s">
        <v>69</v>
      </c>
      <c r="B7" s="144" t="s">
        <v>81</v>
      </c>
      <c r="C7" s="138">
        <f>ROUND('Tulumaks 2021-2024'!K7/2.5*1.88,-3)</f>
        <v>333000</v>
      </c>
      <c r="D7" s="138">
        <f>Tasandusfond!AY7/Tasandusfond!AY$83*Tasandusfond!AY$84</f>
        <v>30317.656659426942</v>
      </c>
      <c r="E7" s="138">
        <f>Tasandusfond!AS7</f>
        <v>0</v>
      </c>
      <c r="F7" s="138">
        <f>Tasandusfond!AX7</f>
        <v>0</v>
      </c>
      <c r="G7" s="138">
        <f t="shared" si="0"/>
        <v>363317.65665942692</v>
      </c>
    </row>
    <row r="8" spans="1:7" x14ac:dyDescent="0.25">
      <c r="A8" s="143" t="s">
        <v>69</v>
      </c>
      <c r="B8" s="144" t="s">
        <v>135</v>
      </c>
      <c r="C8" s="138">
        <f>ROUND('Tulumaks 2021-2024'!K8/2.5*1.88,-3)</f>
        <v>135000</v>
      </c>
      <c r="D8" s="138">
        <f>Tasandusfond!AY8/Tasandusfond!AY$83*Tasandusfond!AY$84</f>
        <v>12243.150117820533</v>
      </c>
      <c r="E8" s="138">
        <f>Tasandusfond!AS8</f>
        <v>0</v>
      </c>
      <c r="F8" s="138">
        <f>Tasandusfond!AX8</f>
        <v>0</v>
      </c>
      <c r="G8" s="138">
        <f t="shared" si="0"/>
        <v>147243.15011782054</v>
      </c>
    </row>
    <row r="9" spans="1:7" x14ac:dyDescent="0.25">
      <c r="A9" s="143" t="s">
        <v>69</v>
      </c>
      <c r="B9" s="144" t="s">
        <v>134</v>
      </c>
      <c r="C9" s="138">
        <f>ROUND('Tulumaks 2021-2024'!K9/2.5*1.88,-3)</f>
        <v>241000</v>
      </c>
      <c r="D9" s="138">
        <f>Tasandusfond!AY9/Tasandusfond!AY$83*Tasandusfond!AY$84</f>
        <v>21773.736786273574</v>
      </c>
      <c r="E9" s="138">
        <f>Tasandusfond!AS9</f>
        <v>27840</v>
      </c>
      <c r="F9" s="138">
        <f>Tasandusfond!AX9</f>
        <v>0</v>
      </c>
      <c r="G9" s="138">
        <f t="shared" si="0"/>
        <v>290613.7367862736</v>
      </c>
    </row>
    <row r="10" spans="1:7" x14ac:dyDescent="0.25">
      <c r="A10" s="143" t="s">
        <v>69</v>
      </c>
      <c r="B10" s="144" t="s">
        <v>133</v>
      </c>
      <c r="C10" s="138">
        <f>ROUND('Tulumaks 2021-2024'!K10/2.5*1.88,-3)</f>
        <v>264000</v>
      </c>
      <c r="D10" s="138">
        <f>Tasandusfond!AY10/Tasandusfond!AY$83*Tasandusfond!AY$84</f>
        <v>23888.120575935634</v>
      </c>
      <c r="E10" s="138">
        <f>Tasandusfond!AS10</f>
        <v>41760</v>
      </c>
      <c r="F10" s="138">
        <f>Tasandusfond!AX10</f>
        <v>0</v>
      </c>
      <c r="G10" s="138">
        <f t="shared" si="0"/>
        <v>329648.12057593564</v>
      </c>
    </row>
    <row r="11" spans="1:7" x14ac:dyDescent="0.25">
      <c r="A11" s="143" t="s">
        <v>69</v>
      </c>
      <c r="B11" s="144" t="s">
        <v>83</v>
      </c>
      <c r="C11" s="138">
        <f>ROUND('Tulumaks 2021-2024'!K11/2.5*1.88,-3)</f>
        <v>135000</v>
      </c>
      <c r="D11" s="138">
        <f>Tasandusfond!AY11/Tasandusfond!AY$83*Tasandusfond!AY$84</f>
        <v>12170.449175391897</v>
      </c>
      <c r="E11" s="138">
        <f>Tasandusfond!AS11</f>
        <v>0</v>
      </c>
      <c r="F11" s="138">
        <f>Tasandusfond!AX11</f>
        <v>0</v>
      </c>
      <c r="G11" s="138">
        <f t="shared" si="0"/>
        <v>147170.4491753919</v>
      </c>
    </row>
    <row r="12" spans="1:7" x14ac:dyDescent="0.25">
      <c r="A12" s="143" t="s">
        <v>69</v>
      </c>
      <c r="B12" s="144" t="s">
        <v>231</v>
      </c>
      <c r="C12" s="138">
        <f>ROUND('Tulumaks 2021-2024'!K12/2.5*1.88,-3)</f>
        <v>501000</v>
      </c>
      <c r="D12" s="138">
        <f>Tasandusfond!AY12/Tasandusfond!AY$83*Tasandusfond!AY$84</f>
        <v>45299.061163693848</v>
      </c>
      <c r="E12" s="138">
        <f>Tasandusfond!AS12</f>
        <v>0</v>
      </c>
      <c r="F12" s="138">
        <f>Tasandusfond!AX12</f>
        <v>0</v>
      </c>
      <c r="G12" s="138">
        <f t="shared" si="0"/>
        <v>546299.0611636939</v>
      </c>
    </row>
    <row r="13" spans="1:7" x14ac:dyDescent="0.25">
      <c r="A13" s="143" t="s">
        <v>69</v>
      </c>
      <c r="B13" s="144" t="s">
        <v>68</v>
      </c>
      <c r="C13" s="138">
        <f>ROUND('Tulumaks 2021-2024'!K13/2.5*1.88,-3)</f>
        <v>633000</v>
      </c>
      <c r="D13" s="138">
        <f>Tasandusfond!AY13/Tasandusfond!AY$83*Tasandusfond!AY$84</f>
        <v>57458.137694848527</v>
      </c>
      <c r="E13" s="138">
        <f>Tasandusfond!AS13</f>
        <v>0</v>
      </c>
      <c r="F13" s="138">
        <f>Tasandusfond!AX13</f>
        <v>0</v>
      </c>
      <c r="G13" s="138">
        <f t="shared" si="0"/>
        <v>690458.13769484847</v>
      </c>
    </row>
    <row r="14" spans="1:7" x14ac:dyDescent="0.25">
      <c r="A14" s="143" t="s">
        <v>69</v>
      </c>
      <c r="B14" s="144" t="s">
        <v>132</v>
      </c>
      <c r="C14" s="138">
        <f>ROUND('Tulumaks 2021-2024'!K14/2.5*1.88,-3)</f>
        <v>162000</v>
      </c>
      <c r="D14" s="138">
        <f>Tasandusfond!AY14/Tasandusfond!AY$83*Tasandusfond!AY$84</f>
        <v>14607.326139475299</v>
      </c>
      <c r="E14" s="138">
        <f>Tasandusfond!AS14</f>
        <v>0</v>
      </c>
      <c r="F14" s="138">
        <f>Tasandusfond!AX14</f>
        <v>0</v>
      </c>
      <c r="G14" s="138">
        <f t="shared" si="0"/>
        <v>176607.32613947531</v>
      </c>
    </row>
    <row r="15" spans="1:7" x14ac:dyDescent="0.25">
      <c r="A15" s="143" t="s">
        <v>69</v>
      </c>
      <c r="B15" s="144" t="s">
        <v>131</v>
      </c>
      <c r="C15" s="138">
        <f>ROUND('Tulumaks 2021-2024'!K15/2.5*1.88,-3)</f>
        <v>371000</v>
      </c>
      <c r="D15" s="138">
        <f>Tasandusfond!AY15/Tasandusfond!AY$83*Tasandusfond!AY$84</f>
        <v>33752.990132578489</v>
      </c>
      <c r="E15" s="138">
        <f>Tasandusfond!AS15</f>
        <v>0</v>
      </c>
      <c r="F15" s="138">
        <f>Tasandusfond!AX15</f>
        <v>0</v>
      </c>
      <c r="G15" s="138">
        <f t="shared" si="0"/>
        <v>404752.99013257847</v>
      </c>
    </row>
    <row r="16" spans="1:7" x14ac:dyDescent="0.25">
      <c r="A16" s="143" t="s">
        <v>69</v>
      </c>
      <c r="B16" s="144" t="s">
        <v>130</v>
      </c>
      <c r="C16" s="138">
        <f>ROUND('Tulumaks 2021-2024'!K16/2.5*1.88,-3)</f>
        <v>311000</v>
      </c>
      <c r="D16" s="138">
        <f>Tasandusfond!AY16/Tasandusfond!AY$83*Tasandusfond!AY$84</f>
        <v>28158.825035764123</v>
      </c>
      <c r="E16" s="138">
        <f>Tasandusfond!AS16</f>
        <v>0</v>
      </c>
      <c r="F16" s="138">
        <f>Tasandusfond!AX16</f>
        <v>0</v>
      </c>
      <c r="G16" s="138">
        <f t="shared" si="0"/>
        <v>339158.82503576414</v>
      </c>
    </row>
    <row r="17" spans="1:7" x14ac:dyDescent="0.25">
      <c r="A17" s="143" t="s">
        <v>69</v>
      </c>
      <c r="B17" s="144" t="s">
        <v>129</v>
      </c>
      <c r="C17" s="138">
        <f>ROUND('Tulumaks 2021-2024'!K17/2.5*1.88,-3)</f>
        <v>704000</v>
      </c>
      <c r="D17" s="138">
        <f>Tasandusfond!AY17/Tasandusfond!AY$83*Tasandusfond!AY$84</f>
        <v>63756.245381657885</v>
      </c>
      <c r="E17" s="138">
        <f>Tasandusfond!AS17</f>
        <v>0</v>
      </c>
      <c r="F17" s="138">
        <f>Tasandusfond!AX17</f>
        <v>0</v>
      </c>
      <c r="G17" s="138">
        <f t="shared" si="0"/>
        <v>767756.24538165785</v>
      </c>
    </row>
    <row r="18" spans="1:7" x14ac:dyDescent="0.25">
      <c r="A18" s="143" t="s">
        <v>69</v>
      </c>
      <c r="B18" s="144" t="s">
        <v>213</v>
      </c>
      <c r="C18" s="138">
        <f>ROUND('Tulumaks 2021-2024'!K18/2.5*1.88,-3)</f>
        <v>15451000</v>
      </c>
      <c r="D18" s="138">
        <f>Tasandusfond!AY18/Tasandusfond!AY$83*Tasandusfond!AY$84</f>
        <v>1395640.5490472268</v>
      </c>
      <c r="E18" s="138">
        <f>Tasandusfond!AS18</f>
        <v>0</v>
      </c>
      <c r="F18" s="138">
        <f>Tasandusfond!AX18</f>
        <v>0</v>
      </c>
      <c r="G18" s="138">
        <f t="shared" si="0"/>
        <v>16846640.549047228</v>
      </c>
    </row>
    <row r="19" spans="1:7" x14ac:dyDescent="0.25">
      <c r="A19" s="143" t="s">
        <v>69</v>
      </c>
      <c r="B19" s="144" t="s">
        <v>128</v>
      </c>
      <c r="C19" s="138">
        <f>ROUND('Tulumaks 2021-2024'!K19/2.5*1.88,-3)</f>
        <v>632000</v>
      </c>
      <c r="D19" s="138">
        <f>Tasandusfond!AY19/Tasandusfond!AY$83*Tasandusfond!AY$84</f>
        <v>57404.26525756756</v>
      </c>
      <c r="E19" s="138">
        <f>Tasandusfond!AS19</f>
        <v>0</v>
      </c>
      <c r="F19" s="138">
        <f>Tasandusfond!AX19</f>
        <v>0</v>
      </c>
      <c r="G19" s="138">
        <f t="shared" si="0"/>
        <v>689404.26525756752</v>
      </c>
    </row>
    <row r="20" spans="1:7" x14ac:dyDescent="0.25">
      <c r="A20" s="143" t="s">
        <v>67</v>
      </c>
      <c r="B20" s="144" t="s">
        <v>217</v>
      </c>
      <c r="C20" s="138">
        <f>ROUND('Tulumaks 2021-2024'!K20/2.5*1.88,-3)</f>
        <v>441000</v>
      </c>
      <c r="D20" s="138">
        <f>Tasandusfond!AY20/Tasandusfond!AY$83*Tasandusfond!AY$84</f>
        <v>39916.069174002696</v>
      </c>
      <c r="E20" s="138">
        <f>Tasandusfond!AS20</f>
        <v>0</v>
      </c>
      <c r="F20" s="138">
        <f>Tasandusfond!AX20</f>
        <v>0</v>
      </c>
      <c r="G20" s="138">
        <f t="shared" si="0"/>
        <v>480916.06917400268</v>
      </c>
    </row>
    <row r="21" spans="1:7" x14ac:dyDescent="0.25">
      <c r="A21" s="143" t="s">
        <v>58</v>
      </c>
      <c r="B21" s="144" t="s">
        <v>218</v>
      </c>
      <c r="C21" s="138">
        <f>ROUND('Tulumaks 2021-2024'!K21/2.5*1.88,-3)</f>
        <v>213000</v>
      </c>
      <c r="D21" s="138">
        <f>Tasandusfond!AY21/Tasandusfond!AY$83*Tasandusfond!AY$84</f>
        <v>19310.397403246316</v>
      </c>
      <c r="E21" s="138">
        <f>Tasandusfond!AS21</f>
        <v>0</v>
      </c>
      <c r="F21" s="138">
        <f>Tasandusfond!AX21</f>
        <v>15397.491817381349</v>
      </c>
      <c r="G21" s="138">
        <f t="shared" si="0"/>
        <v>247707.88922062767</v>
      </c>
    </row>
    <row r="22" spans="1:7" x14ac:dyDescent="0.25">
      <c r="A22" s="143" t="s">
        <v>58</v>
      </c>
      <c r="B22" s="144" t="s">
        <v>127</v>
      </c>
      <c r="C22" s="138">
        <f>ROUND('Tulumaks 2021-2024'!K22/2.5*1.88,-3)</f>
        <v>573000</v>
      </c>
      <c r="D22" s="138">
        <f>Tasandusfond!AY22/Tasandusfond!AY$83*Tasandusfond!AY$84</f>
        <v>51761.605563436693</v>
      </c>
      <c r="E22" s="138">
        <f>Tasandusfond!AS22</f>
        <v>0</v>
      </c>
      <c r="F22" s="138">
        <f>Tasandusfond!AX22</f>
        <v>0</v>
      </c>
      <c r="G22" s="138">
        <f t="shared" si="0"/>
        <v>624761.60556343663</v>
      </c>
    </row>
    <row r="23" spans="1:7" x14ac:dyDescent="0.25">
      <c r="A23" s="143" t="s">
        <v>58</v>
      </c>
      <c r="B23" s="144" t="s">
        <v>57</v>
      </c>
      <c r="C23" s="138">
        <f>ROUND('Tulumaks 2021-2024'!K23/2.5*1.88,-3)</f>
        <v>1627000</v>
      </c>
      <c r="D23" s="138">
        <f>Tasandusfond!AY23/Tasandusfond!AY$83*Tasandusfond!AY$84</f>
        <v>146959.22300542874</v>
      </c>
      <c r="E23" s="138">
        <f>Tasandusfond!AS23</f>
        <v>0</v>
      </c>
      <c r="F23" s="138">
        <f>Tasandusfond!AX23</f>
        <v>0</v>
      </c>
      <c r="G23" s="138">
        <f t="shared" si="0"/>
        <v>1773959.2230054287</v>
      </c>
    </row>
    <row r="24" spans="1:7" x14ac:dyDescent="0.25">
      <c r="A24" s="143" t="s">
        <v>58</v>
      </c>
      <c r="B24" s="144" t="s">
        <v>126</v>
      </c>
      <c r="C24" s="138">
        <f>ROUND('Tulumaks 2021-2024'!K24/2.5*1.88,-3)</f>
        <v>444000</v>
      </c>
      <c r="D24" s="138">
        <f>Tasandusfond!AY24/Tasandusfond!AY$83*Tasandusfond!AY$84</f>
        <v>40059.29951867702</v>
      </c>
      <c r="E24" s="138">
        <f>Tasandusfond!AS24</f>
        <v>0</v>
      </c>
      <c r="F24" s="138">
        <f>Tasandusfond!AX24</f>
        <v>33133.860639717313</v>
      </c>
      <c r="G24" s="138">
        <f t="shared" si="0"/>
        <v>517193.16015839431</v>
      </c>
    </row>
    <row r="25" spans="1:7" x14ac:dyDescent="0.25">
      <c r="A25" s="143" t="s">
        <v>58</v>
      </c>
      <c r="B25" s="144" t="s">
        <v>59</v>
      </c>
      <c r="C25" s="138">
        <f>ROUND('Tulumaks 2021-2024'!K25/2.5*1.88,-3)</f>
        <v>2461000</v>
      </c>
      <c r="D25" s="138">
        <f>Tasandusfond!AY25/Tasandusfond!AY$83*Tasandusfond!AY$84</f>
        <v>222331.7056990054</v>
      </c>
      <c r="E25" s="138">
        <f>Tasandusfond!AS25</f>
        <v>0</v>
      </c>
      <c r="F25" s="138">
        <f>Tasandusfond!AX25</f>
        <v>0</v>
      </c>
      <c r="G25" s="138">
        <f t="shared" si="0"/>
        <v>2683331.7056990052</v>
      </c>
    </row>
    <row r="26" spans="1:7" x14ac:dyDescent="0.25">
      <c r="A26" s="143" t="s">
        <v>58</v>
      </c>
      <c r="B26" s="144" t="s">
        <v>62</v>
      </c>
      <c r="C26" s="138">
        <f>ROUND('Tulumaks 2021-2024'!K26/2.5*1.88,-3)</f>
        <v>229000</v>
      </c>
      <c r="D26" s="138">
        <f>Tasandusfond!AY26/Tasandusfond!AY$83*Tasandusfond!AY$84</f>
        <v>20723.619193175011</v>
      </c>
      <c r="E26" s="138">
        <f>Tasandusfond!AS26</f>
        <v>0</v>
      </c>
      <c r="F26" s="138">
        <f>Tasandusfond!AX26</f>
        <v>0</v>
      </c>
      <c r="G26" s="138">
        <f t="shared" si="0"/>
        <v>249723.61919317502</v>
      </c>
    </row>
    <row r="27" spans="1:7" x14ac:dyDescent="0.25">
      <c r="A27" s="143" t="s">
        <v>58</v>
      </c>
      <c r="B27" s="144" t="s">
        <v>61</v>
      </c>
      <c r="C27" s="138">
        <f>ROUND('Tulumaks 2021-2024'!K27/2.5*1.88,-3)</f>
        <v>673000</v>
      </c>
      <c r="D27" s="138">
        <f>Tasandusfond!AY27/Tasandusfond!AY$83*Tasandusfond!AY$84</f>
        <v>60723.382520102765</v>
      </c>
      <c r="E27" s="138">
        <f>Tasandusfond!AS27</f>
        <v>0</v>
      </c>
      <c r="F27" s="138">
        <f>Tasandusfond!AX27</f>
        <v>0</v>
      </c>
      <c r="G27" s="138">
        <f t="shared" si="0"/>
        <v>733723.38252010278</v>
      </c>
    </row>
    <row r="28" spans="1:7" x14ac:dyDescent="0.25">
      <c r="A28" s="143" t="s">
        <v>58</v>
      </c>
      <c r="B28" s="144" t="s">
        <v>64</v>
      </c>
      <c r="C28" s="138">
        <f>ROUND('Tulumaks 2021-2024'!K28/2.5*1.88,-3)</f>
        <v>217000</v>
      </c>
      <c r="D28" s="138">
        <f>Tasandusfond!AY28/Tasandusfond!AY$83*Tasandusfond!AY$84</f>
        <v>19663.922064520073</v>
      </c>
      <c r="E28" s="138">
        <f>Tasandusfond!AS28</f>
        <v>0</v>
      </c>
      <c r="F28" s="138">
        <f>Tasandusfond!AX28</f>
        <v>0</v>
      </c>
      <c r="G28" s="138">
        <f t="shared" si="0"/>
        <v>236663.92206452007</v>
      </c>
    </row>
    <row r="29" spans="1:7" x14ac:dyDescent="0.25">
      <c r="A29" s="143" t="s">
        <v>55</v>
      </c>
      <c r="B29" s="144" t="s">
        <v>125</v>
      </c>
      <c r="C29" s="138">
        <f>ROUND('Tulumaks 2021-2024'!K29/2.5*1.88,-3)</f>
        <v>583000</v>
      </c>
      <c r="D29" s="138">
        <f>Tasandusfond!AY29/Tasandusfond!AY$83*Tasandusfond!AY$84</f>
        <v>52592.951248529636</v>
      </c>
      <c r="E29" s="138">
        <f>Tasandusfond!AS29</f>
        <v>6960</v>
      </c>
      <c r="F29" s="138">
        <f>Tasandusfond!AX29</f>
        <v>258309.16714816168</v>
      </c>
      <c r="G29" s="138">
        <f t="shared" si="0"/>
        <v>900862.11839669128</v>
      </c>
    </row>
    <row r="30" spans="1:7" x14ac:dyDescent="0.25">
      <c r="A30" s="143" t="s">
        <v>55</v>
      </c>
      <c r="B30" s="144" t="s">
        <v>219</v>
      </c>
      <c r="C30" s="138">
        <f>ROUND('Tulumaks 2021-2024'!K30/2.5*1.88,-3)</f>
        <v>242000</v>
      </c>
      <c r="D30" s="138">
        <f>Tasandusfond!AY30/Tasandusfond!AY$83*Tasandusfond!AY$84</f>
        <v>21795.74155860228</v>
      </c>
      <c r="E30" s="138">
        <f>Tasandusfond!AS30</f>
        <v>0</v>
      </c>
      <c r="F30" s="138">
        <f>Tasandusfond!AX30</f>
        <v>120292.14572420172</v>
      </c>
      <c r="G30" s="138">
        <f t="shared" si="0"/>
        <v>384087.887282804</v>
      </c>
    </row>
    <row r="31" spans="1:7" x14ac:dyDescent="0.25">
      <c r="A31" s="143" t="s">
        <v>55</v>
      </c>
      <c r="B31" s="144" t="s">
        <v>124</v>
      </c>
      <c r="C31" s="138">
        <f>ROUND('Tulumaks 2021-2024'!K31/2.5*1.88,-3)</f>
        <v>426000</v>
      </c>
      <c r="D31" s="138">
        <f>Tasandusfond!AY31/Tasandusfond!AY$83*Tasandusfond!AY$84</f>
        <v>38224.883363226421</v>
      </c>
      <c r="E31" s="138">
        <f>Tasandusfond!AS31</f>
        <v>104400</v>
      </c>
      <c r="F31" s="138">
        <f>Tasandusfond!AX31</f>
        <v>167773.12085795292</v>
      </c>
      <c r="G31" s="138">
        <f t="shared" si="0"/>
        <v>736398.00422117929</v>
      </c>
    </row>
    <row r="32" spans="1:7" x14ac:dyDescent="0.25">
      <c r="A32" s="143" t="s">
        <v>52</v>
      </c>
      <c r="B32" s="144" t="s">
        <v>220</v>
      </c>
      <c r="C32" s="138">
        <f>ROUND('Tulumaks 2021-2024'!K32/2.5*1.88,-3)</f>
        <v>357000</v>
      </c>
      <c r="D32" s="138">
        <f>Tasandusfond!AY32/Tasandusfond!AY$83*Tasandusfond!AY$84</f>
        <v>32272.331261455591</v>
      </c>
      <c r="E32" s="138">
        <f>Tasandusfond!AS32</f>
        <v>6960</v>
      </c>
      <c r="F32" s="138">
        <f>Tasandusfond!AX32</f>
        <v>134021.96130870021</v>
      </c>
      <c r="G32" s="138">
        <f t="shared" si="0"/>
        <v>530254.29257015581</v>
      </c>
    </row>
    <row r="33" spans="1:7" x14ac:dyDescent="0.25">
      <c r="A33" s="143" t="s">
        <v>52</v>
      </c>
      <c r="B33" s="144" t="s">
        <v>51</v>
      </c>
      <c r="C33" s="138">
        <f>ROUND('Tulumaks 2021-2024'!K33/2.5*1.88,-3)</f>
        <v>455000</v>
      </c>
      <c r="D33" s="138">
        <f>Tasandusfond!AY33/Tasandusfond!AY$83*Tasandusfond!AY$84</f>
        <v>41114.787417669962</v>
      </c>
      <c r="E33" s="138">
        <f>Tasandusfond!AS33</f>
        <v>0</v>
      </c>
      <c r="F33" s="138">
        <f>Tasandusfond!AX33</f>
        <v>0</v>
      </c>
      <c r="G33" s="138">
        <f t="shared" si="0"/>
        <v>496114.78741766996</v>
      </c>
    </row>
    <row r="34" spans="1:7" x14ac:dyDescent="0.25">
      <c r="A34" s="143" t="s">
        <v>52</v>
      </c>
      <c r="B34" s="144" t="s">
        <v>123</v>
      </c>
      <c r="C34" s="138">
        <f>ROUND('Tulumaks 2021-2024'!K34/2.5*1.88,-3)</f>
        <v>491000</v>
      </c>
      <c r="D34" s="138">
        <f>Tasandusfond!AY34/Tasandusfond!AY$83*Tasandusfond!AY$84</f>
        <v>44345.392696818846</v>
      </c>
      <c r="E34" s="138">
        <f>Tasandusfond!AS34</f>
        <v>0</v>
      </c>
      <c r="F34" s="138">
        <f>Tasandusfond!AX34</f>
        <v>0</v>
      </c>
      <c r="G34" s="138">
        <f t="shared" si="0"/>
        <v>535345.3926968188</v>
      </c>
    </row>
    <row r="35" spans="1:7" x14ac:dyDescent="0.25">
      <c r="A35" s="143" t="s">
        <v>47</v>
      </c>
      <c r="B35" s="144" t="s">
        <v>48</v>
      </c>
      <c r="C35" s="138">
        <f>ROUND('Tulumaks 2021-2024'!K35/2.5*1.88,-3)</f>
        <v>611000</v>
      </c>
      <c r="D35" s="138">
        <f>Tasandusfond!AY35/Tasandusfond!AY$83*Tasandusfond!AY$84</f>
        <v>55145.962965416576</v>
      </c>
      <c r="E35" s="138">
        <f>Tasandusfond!AS35</f>
        <v>0</v>
      </c>
      <c r="F35" s="138">
        <f>Tasandusfond!AX35</f>
        <v>0</v>
      </c>
      <c r="G35" s="138">
        <f t="shared" si="0"/>
        <v>666145.96296541661</v>
      </c>
    </row>
    <row r="36" spans="1:7" x14ac:dyDescent="0.25">
      <c r="A36" s="143" t="s">
        <v>47</v>
      </c>
      <c r="B36" s="144" t="s">
        <v>122</v>
      </c>
      <c r="C36" s="138">
        <f>ROUND('Tulumaks 2021-2024'!K36/2.5*1.88,-3)</f>
        <v>305000</v>
      </c>
      <c r="D36" s="138">
        <f>Tasandusfond!AY36/Tasandusfond!AY$83*Tasandusfond!AY$84</f>
        <v>27535.288668300065</v>
      </c>
      <c r="E36" s="138">
        <f>Tasandusfond!AS36</f>
        <v>111360</v>
      </c>
      <c r="F36" s="138">
        <f>Tasandusfond!AX36</f>
        <v>0</v>
      </c>
      <c r="G36" s="138">
        <f t="shared" si="0"/>
        <v>443895.28866830008</v>
      </c>
    </row>
    <row r="37" spans="1:7" x14ac:dyDescent="0.25">
      <c r="A37" s="143" t="s">
        <v>47</v>
      </c>
      <c r="B37" s="144" t="s">
        <v>121</v>
      </c>
      <c r="C37" s="138">
        <f>ROUND('Tulumaks 2021-2024'!K37/2.5*1.88,-3)</f>
        <v>20000</v>
      </c>
      <c r="D37" s="138">
        <f>Tasandusfond!AY37/Tasandusfond!AY$83*Tasandusfond!AY$84</f>
        <v>1808.8956335075065</v>
      </c>
      <c r="E37" s="138">
        <f>Tasandusfond!AS37</f>
        <v>0</v>
      </c>
      <c r="F37" s="138">
        <f>Tasandusfond!AX37</f>
        <v>0</v>
      </c>
      <c r="G37" s="138">
        <f t="shared" si="0"/>
        <v>21808.895633507505</v>
      </c>
    </row>
    <row r="38" spans="1:7" x14ac:dyDescent="0.25">
      <c r="A38" s="143" t="s">
        <v>38</v>
      </c>
      <c r="B38" s="144" t="s">
        <v>120</v>
      </c>
      <c r="C38" s="138">
        <f>ROUND('Tulumaks 2021-2024'!K38/2.5*1.88,-3)</f>
        <v>190000</v>
      </c>
      <c r="D38" s="138">
        <f>Tasandusfond!AY38/Tasandusfond!AY$83*Tasandusfond!AY$84</f>
        <v>17276.280317578752</v>
      </c>
      <c r="E38" s="138">
        <f>Tasandusfond!AS38</f>
        <v>0</v>
      </c>
      <c r="F38" s="138">
        <f>Tasandusfond!AX38</f>
        <v>0</v>
      </c>
      <c r="G38" s="138">
        <f t="shared" si="0"/>
        <v>207276.28031757876</v>
      </c>
    </row>
    <row r="39" spans="1:7" x14ac:dyDescent="0.25">
      <c r="A39" s="143" t="s">
        <v>38</v>
      </c>
      <c r="B39" s="144" t="s">
        <v>119</v>
      </c>
      <c r="C39" s="138">
        <f>ROUND('Tulumaks 2021-2024'!K39/2.5*1.88,-3)</f>
        <v>178000</v>
      </c>
      <c r="D39" s="138">
        <f>Tasandusfond!AY39/Tasandusfond!AY$83*Tasandusfond!AY$84</f>
        <v>16080.742764766695</v>
      </c>
      <c r="E39" s="138">
        <f>Tasandusfond!AS39</f>
        <v>0</v>
      </c>
      <c r="F39" s="138">
        <f>Tasandusfond!AX39</f>
        <v>7528.5213903625845</v>
      </c>
      <c r="G39" s="138">
        <f t="shared" si="0"/>
        <v>201609.26415512929</v>
      </c>
    </row>
    <row r="40" spans="1:7" x14ac:dyDescent="0.25">
      <c r="A40" s="143" t="s">
        <v>38</v>
      </c>
      <c r="B40" s="144" t="s">
        <v>118</v>
      </c>
      <c r="C40" s="138">
        <f>ROUND('Tulumaks 2021-2024'!K40/2.5*1.88,-3)</f>
        <v>210000</v>
      </c>
      <c r="D40" s="138">
        <f>Tasandusfond!AY40/Tasandusfond!AY$83*Tasandusfond!AY$84</f>
        <v>18991.250945701751</v>
      </c>
      <c r="E40" s="138">
        <f>Tasandusfond!AS40</f>
        <v>0</v>
      </c>
      <c r="F40" s="138">
        <f>Tasandusfond!AX40</f>
        <v>0</v>
      </c>
      <c r="G40" s="138">
        <f t="shared" si="0"/>
        <v>228991.25094570176</v>
      </c>
    </row>
    <row r="41" spans="1:7" x14ac:dyDescent="0.25">
      <c r="A41" s="143" t="s">
        <v>38</v>
      </c>
      <c r="B41" s="144" t="s">
        <v>37</v>
      </c>
      <c r="C41" s="138">
        <f>ROUND('Tulumaks 2021-2024'!K41/2.5*1.88,-3)</f>
        <v>596000</v>
      </c>
      <c r="D41" s="138">
        <f>Tasandusfond!AY41/Tasandusfond!AY$83*Tasandusfond!AY$84</f>
        <v>53728.735538518034</v>
      </c>
      <c r="E41" s="138">
        <f>Tasandusfond!AS41</f>
        <v>0</v>
      </c>
      <c r="F41" s="138">
        <f>Tasandusfond!AX41</f>
        <v>0</v>
      </c>
      <c r="G41" s="138">
        <f t="shared" si="0"/>
        <v>649728.73553851806</v>
      </c>
    </row>
    <row r="42" spans="1:7" x14ac:dyDescent="0.25">
      <c r="A42" s="143" t="s">
        <v>38</v>
      </c>
      <c r="B42" s="144" t="s">
        <v>117</v>
      </c>
      <c r="C42" s="138">
        <f>ROUND('Tulumaks 2021-2024'!K42/2.5*1.88,-3)</f>
        <v>469000</v>
      </c>
      <c r="D42" s="138">
        <f>Tasandusfond!AY42/Tasandusfond!AY$83*Tasandusfond!AY$84</f>
        <v>42346.958625963765</v>
      </c>
      <c r="E42" s="138">
        <f>Tasandusfond!AS42</f>
        <v>0</v>
      </c>
      <c r="F42" s="138">
        <f>Tasandusfond!AX42</f>
        <v>151693.50944611715</v>
      </c>
      <c r="G42" s="138">
        <f t="shared" si="0"/>
        <v>663040.46807208098</v>
      </c>
    </row>
    <row r="43" spans="1:7" x14ac:dyDescent="0.25">
      <c r="A43" s="143" t="s">
        <v>38</v>
      </c>
      <c r="B43" s="144" t="s">
        <v>116</v>
      </c>
      <c r="C43" s="138">
        <f>ROUND('Tulumaks 2021-2024'!K43/2.5*1.88,-3)</f>
        <v>259000</v>
      </c>
      <c r="D43" s="138">
        <f>Tasandusfond!AY43/Tasandusfond!AY$83*Tasandusfond!AY$84</f>
        <v>23518.558713361737</v>
      </c>
      <c r="E43" s="138">
        <f>Tasandusfond!AS43</f>
        <v>0</v>
      </c>
      <c r="F43" s="138">
        <f>Tasandusfond!AX43</f>
        <v>51302.985817278561</v>
      </c>
      <c r="G43" s="138">
        <f t="shared" si="0"/>
        <v>333821.5445306403</v>
      </c>
    </row>
    <row r="44" spans="1:7" x14ac:dyDescent="0.25">
      <c r="A44" s="143" t="s">
        <v>38</v>
      </c>
      <c r="B44" s="144" t="s">
        <v>115</v>
      </c>
      <c r="C44" s="138">
        <f>ROUND('Tulumaks 2021-2024'!K44/2.5*1.88,-3)</f>
        <v>268000</v>
      </c>
      <c r="D44" s="138">
        <f>Tasandusfond!AY44/Tasandusfond!AY$83*Tasandusfond!AY$84</f>
        <v>24107.768371428847</v>
      </c>
      <c r="E44" s="138">
        <f>Tasandusfond!AS44</f>
        <v>0</v>
      </c>
      <c r="F44" s="138">
        <f>Tasandusfond!AX44</f>
        <v>15146.561433686002</v>
      </c>
      <c r="G44" s="138">
        <f t="shared" si="0"/>
        <v>307254.32980511483</v>
      </c>
    </row>
    <row r="45" spans="1:7" x14ac:dyDescent="0.25">
      <c r="A45" s="143" t="s">
        <v>38</v>
      </c>
      <c r="B45" s="144" t="s">
        <v>114</v>
      </c>
      <c r="C45" s="138">
        <f>ROUND('Tulumaks 2021-2024'!K45/2.5*1.88,-3)</f>
        <v>239000</v>
      </c>
      <c r="D45" s="138">
        <f>Tasandusfond!AY45/Tasandusfond!AY$83*Tasandusfond!AY$84</f>
        <v>21545.497005924681</v>
      </c>
      <c r="E45" s="138">
        <f>Tasandusfond!AS45</f>
        <v>41760</v>
      </c>
      <c r="F45" s="138">
        <f>Tasandusfond!AX45</f>
        <v>31735.495854248758</v>
      </c>
      <c r="G45" s="138">
        <f t="shared" si="0"/>
        <v>334040.99286017346</v>
      </c>
    </row>
    <row r="46" spans="1:7" x14ac:dyDescent="0.25">
      <c r="A46" s="143" t="s">
        <v>35</v>
      </c>
      <c r="B46" s="144" t="s">
        <v>113</v>
      </c>
      <c r="C46" s="138">
        <f>ROUND('Tulumaks 2021-2024'!K46/2.5*1.88,-3)</f>
        <v>194000</v>
      </c>
      <c r="D46" s="138">
        <f>Tasandusfond!AY46/Tasandusfond!AY$83*Tasandusfond!AY$84</f>
        <v>17382.271654607794</v>
      </c>
      <c r="E46" s="138">
        <f>Tasandusfond!AS46</f>
        <v>48720</v>
      </c>
      <c r="F46" s="138">
        <f>Tasandusfond!AX46</f>
        <v>155658.21961998878</v>
      </c>
      <c r="G46" s="138">
        <f t="shared" si="0"/>
        <v>415760.49127459654</v>
      </c>
    </row>
    <row r="47" spans="1:7" x14ac:dyDescent="0.25">
      <c r="A47" s="143" t="s">
        <v>35</v>
      </c>
      <c r="B47" s="144" t="s">
        <v>112</v>
      </c>
      <c r="C47" s="138">
        <f>ROUND('Tulumaks 2021-2024'!K47/2.5*1.88,-3)</f>
        <v>579000</v>
      </c>
      <c r="D47" s="138">
        <f>Tasandusfond!AY47/Tasandusfond!AY$83*Tasandusfond!AY$84</f>
        <v>52346.497404464673</v>
      </c>
      <c r="E47" s="138">
        <f>Tasandusfond!AS47</f>
        <v>0</v>
      </c>
      <c r="F47" s="138">
        <f>Tasandusfond!AX47</f>
        <v>151303.60563466325</v>
      </c>
      <c r="G47" s="138">
        <f t="shared" si="0"/>
        <v>782650.10303912789</v>
      </c>
    </row>
    <row r="48" spans="1:7" x14ac:dyDescent="0.25">
      <c r="A48" s="143" t="s">
        <v>35</v>
      </c>
      <c r="B48" s="144" t="s">
        <v>111</v>
      </c>
      <c r="C48" s="138">
        <f>ROUND('Tulumaks 2021-2024'!K48/2.5*1.88,-3)</f>
        <v>274000</v>
      </c>
      <c r="D48" s="138">
        <f>Tasandusfond!AY48/Tasandusfond!AY$83*Tasandusfond!AY$84</f>
        <v>24764.4012521484</v>
      </c>
      <c r="E48" s="138">
        <f>Tasandusfond!AS48</f>
        <v>0</v>
      </c>
      <c r="F48" s="138">
        <f>Tasandusfond!AX48</f>
        <v>163013.33325272537</v>
      </c>
      <c r="G48" s="138">
        <f t="shared" si="0"/>
        <v>461777.73450487375</v>
      </c>
    </row>
    <row r="49" spans="1:7" x14ac:dyDescent="0.25">
      <c r="A49" s="143" t="s">
        <v>28</v>
      </c>
      <c r="B49" s="144" t="s">
        <v>110</v>
      </c>
      <c r="C49" s="138">
        <f>ROUND('Tulumaks 2021-2024'!K49/2.5*1.88,-3)</f>
        <v>186000</v>
      </c>
      <c r="D49" s="138">
        <f>Tasandusfond!AY49/Tasandusfond!AY$83*Tasandusfond!AY$84</f>
        <v>16892.446576182123</v>
      </c>
      <c r="E49" s="138">
        <f>Tasandusfond!AS49</f>
        <v>0</v>
      </c>
      <c r="F49" s="138">
        <f>Tasandusfond!AX49</f>
        <v>57753.838773706404</v>
      </c>
      <c r="G49" s="138">
        <f t="shared" si="0"/>
        <v>260646.28534988852</v>
      </c>
    </row>
    <row r="50" spans="1:7" x14ac:dyDescent="0.25">
      <c r="A50" s="143" t="s">
        <v>28</v>
      </c>
      <c r="B50" s="144" t="s">
        <v>109</v>
      </c>
      <c r="C50" s="138">
        <f>ROUND('Tulumaks 2021-2024'!K50/2.5*1.88,-3)</f>
        <v>25000</v>
      </c>
      <c r="D50" s="138">
        <f>Tasandusfond!AY50/Tasandusfond!AY$83*Tasandusfond!AY$84</f>
        <v>2207.7868706132499</v>
      </c>
      <c r="E50" s="138">
        <f>Tasandusfond!AS50</f>
        <v>0</v>
      </c>
      <c r="F50" s="138">
        <f>Tasandusfond!AX50</f>
        <v>0</v>
      </c>
      <c r="G50" s="138">
        <f t="shared" si="0"/>
        <v>27207.78687061325</v>
      </c>
    </row>
    <row r="51" spans="1:7" x14ac:dyDescent="0.25">
      <c r="A51" s="143" t="s">
        <v>28</v>
      </c>
      <c r="B51" s="144" t="s">
        <v>221</v>
      </c>
      <c r="C51" s="138">
        <f>ROUND('Tulumaks 2021-2024'!K51/2.5*1.88,-3)</f>
        <v>239000</v>
      </c>
      <c r="D51" s="138">
        <f>Tasandusfond!AY51/Tasandusfond!AY$83*Tasandusfond!AY$84</f>
        <v>21512.206680444178</v>
      </c>
      <c r="E51" s="138">
        <f>Tasandusfond!AS51</f>
        <v>0</v>
      </c>
      <c r="F51" s="138">
        <f>Tasandusfond!AX51</f>
        <v>59993.86851152376</v>
      </c>
      <c r="G51" s="138">
        <f t="shared" si="0"/>
        <v>320506.07519196795</v>
      </c>
    </row>
    <row r="52" spans="1:7" x14ac:dyDescent="0.25">
      <c r="A52" s="143" t="s">
        <v>28</v>
      </c>
      <c r="B52" s="144" t="s">
        <v>222</v>
      </c>
      <c r="C52" s="138">
        <f>ROUND('Tulumaks 2021-2024'!K52/2.5*1.88,-3)</f>
        <v>362000</v>
      </c>
      <c r="D52" s="138">
        <f>Tasandusfond!AY52/Tasandusfond!AY$83*Tasandusfond!AY$84</f>
        <v>32782.064947287858</v>
      </c>
      <c r="E52" s="138">
        <f>Tasandusfond!AS52</f>
        <v>0</v>
      </c>
      <c r="F52" s="138">
        <f>Tasandusfond!AX52</f>
        <v>94975.6091089127</v>
      </c>
      <c r="G52" s="138">
        <f t="shared" si="0"/>
        <v>489757.67405620054</v>
      </c>
    </row>
    <row r="53" spans="1:7" x14ac:dyDescent="0.25">
      <c r="A53" s="143" t="s">
        <v>28</v>
      </c>
      <c r="B53" s="144" t="s">
        <v>30</v>
      </c>
      <c r="C53" s="138">
        <f>ROUND('Tulumaks 2021-2024'!K53/2.5*1.88,-3)</f>
        <v>2102000</v>
      </c>
      <c r="D53" s="138">
        <f>Tasandusfond!AY53/Tasandusfond!AY$83*Tasandusfond!AY$84</f>
        <v>189591.22256324909</v>
      </c>
      <c r="E53" s="138">
        <f>Tasandusfond!AS53</f>
        <v>0</v>
      </c>
      <c r="F53" s="138">
        <f>Tasandusfond!AX53</f>
        <v>54717.082935031038</v>
      </c>
      <c r="G53" s="138">
        <f t="shared" si="0"/>
        <v>2346308.3054982801</v>
      </c>
    </row>
    <row r="54" spans="1:7" x14ac:dyDescent="0.25">
      <c r="A54" s="143" t="s">
        <v>28</v>
      </c>
      <c r="B54" s="144" t="s">
        <v>108</v>
      </c>
      <c r="C54" s="138">
        <f>ROUND('Tulumaks 2021-2024'!K54/2.5*1.88,-3)</f>
        <v>200000</v>
      </c>
      <c r="D54" s="138">
        <f>Tasandusfond!AY54/Tasandusfond!AY$83*Tasandusfond!AY$84</f>
        <v>17987.657099392705</v>
      </c>
      <c r="E54" s="138">
        <f>Tasandusfond!AS54</f>
        <v>0</v>
      </c>
      <c r="F54" s="138">
        <f>Tasandusfond!AX54</f>
        <v>97637.329917660682</v>
      </c>
      <c r="G54" s="138">
        <f t="shared" si="0"/>
        <v>315624.98701705341</v>
      </c>
    </row>
    <row r="55" spans="1:7" x14ac:dyDescent="0.25">
      <c r="A55" s="143" t="s">
        <v>28</v>
      </c>
      <c r="B55" s="144" t="s">
        <v>107</v>
      </c>
      <c r="C55" s="138">
        <f>ROUND('Tulumaks 2021-2024'!K55/2.5*1.88,-3)</f>
        <v>414000</v>
      </c>
      <c r="D55" s="138">
        <f>Tasandusfond!AY55/Tasandusfond!AY$83*Tasandusfond!AY$84</f>
        <v>37472.587768048637</v>
      </c>
      <c r="E55" s="138">
        <f>Tasandusfond!AS55</f>
        <v>20880</v>
      </c>
      <c r="F55" s="138">
        <f>Tasandusfond!AX55</f>
        <v>0</v>
      </c>
      <c r="G55" s="138">
        <f t="shared" si="0"/>
        <v>472352.58776804863</v>
      </c>
    </row>
    <row r="56" spans="1:7" x14ac:dyDescent="0.25">
      <c r="A56" s="143" t="s">
        <v>24</v>
      </c>
      <c r="B56" s="144" t="s">
        <v>106</v>
      </c>
      <c r="C56" s="138">
        <f>ROUND('Tulumaks 2021-2024'!K56/2.5*1.88,-3)</f>
        <v>222000</v>
      </c>
      <c r="D56" s="138">
        <f>Tasandusfond!AY56/Tasandusfond!AY$83*Tasandusfond!AY$84</f>
        <v>20086.484969681413</v>
      </c>
      <c r="E56" s="138">
        <f>Tasandusfond!AS56</f>
        <v>0</v>
      </c>
      <c r="F56" s="138">
        <f>Tasandusfond!AX56</f>
        <v>9783.1301388859283</v>
      </c>
      <c r="G56" s="138">
        <f t="shared" si="0"/>
        <v>251869.61510856735</v>
      </c>
    </row>
    <row r="57" spans="1:7" x14ac:dyDescent="0.25">
      <c r="A57" s="143" t="s">
        <v>24</v>
      </c>
      <c r="B57" s="144" t="s">
        <v>105</v>
      </c>
      <c r="C57" s="138">
        <f>ROUND('Tulumaks 2021-2024'!K57/2.5*1.88,-3)</f>
        <v>233000</v>
      </c>
      <c r="D57" s="138">
        <f>Tasandusfond!AY57/Tasandusfond!AY$83*Tasandusfond!AY$84</f>
        <v>21095.713851136548</v>
      </c>
      <c r="E57" s="138">
        <f>Tasandusfond!AS57</f>
        <v>0</v>
      </c>
      <c r="F57" s="138">
        <f>Tasandusfond!AX57</f>
        <v>0</v>
      </c>
      <c r="G57" s="138">
        <f t="shared" si="0"/>
        <v>254095.71385113656</v>
      </c>
    </row>
    <row r="58" spans="1:7" x14ac:dyDescent="0.25">
      <c r="A58" s="143" t="s">
        <v>24</v>
      </c>
      <c r="B58" s="144" t="s">
        <v>104</v>
      </c>
      <c r="C58" s="138">
        <f>ROUND('Tulumaks 2021-2024'!K58/2.5*1.88,-3)</f>
        <v>313000</v>
      </c>
      <c r="D58" s="138">
        <f>Tasandusfond!AY58/Tasandusfond!AY$83*Tasandusfond!AY$84</f>
        <v>28366.05969046909</v>
      </c>
      <c r="E58" s="138">
        <f>Tasandusfond!AS58</f>
        <v>6960</v>
      </c>
      <c r="F58" s="138">
        <f>Tasandusfond!AX58</f>
        <v>131900.49369320465</v>
      </c>
      <c r="G58" s="138">
        <f t="shared" si="0"/>
        <v>480226.55338367372</v>
      </c>
    </row>
    <row r="59" spans="1:7" x14ac:dyDescent="0.25">
      <c r="A59" s="143" t="s">
        <v>24</v>
      </c>
      <c r="B59" s="144" t="s">
        <v>103</v>
      </c>
      <c r="C59" s="138">
        <f>ROUND('Tulumaks 2021-2024'!K59/2.5*1.88,-3)</f>
        <v>535000</v>
      </c>
      <c r="D59" s="138">
        <f>Tasandusfond!AY59/Tasandusfond!AY$83*Tasandusfond!AY$84</f>
        <v>48406.952787974944</v>
      </c>
      <c r="E59" s="138">
        <f>Tasandusfond!AS59</f>
        <v>0</v>
      </c>
      <c r="F59" s="138">
        <f>Tasandusfond!AX59</f>
        <v>35155.536655757111</v>
      </c>
      <c r="G59" s="138">
        <f t="shared" si="0"/>
        <v>618562.48944373208</v>
      </c>
    </row>
    <row r="60" spans="1:7" x14ac:dyDescent="0.25">
      <c r="A60" s="143" t="s">
        <v>20</v>
      </c>
      <c r="B60" s="144" t="s">
        <v>102</v>
      </c>
      <c r="C60" s="138">
        <f>ROUND('Tulumaks 2021-2024'!K60/2.5*1.88,-3)</f>
        <v>92000</v>
      </c>
      <c r="D60" s="138">
        <f>Tasandusfond!AY60/Tasandusfond!AY$83*Tasandusfond!AY$84</f>
        <v>8317.6510124513661</v>
      </c>
      <c r="E60" s="138">
        <f>Tasandusfond!AS60</f>
        <v>0</v>
      </c>
      <c r="F60" s="138">
        <f>Tasandusfond!AX60</f>
        <v>32045.573361158167</v>
      </c>
      <c r="G60" s="138">
        <f t="shared" si="0"/>
        <v>132363.22437360953</v>
      </c>
    </row>
    <row r="61" spans="1:7" x14ac:dyDescent="0.25">
      <c r="A61" s="148" t="s">
        <v>20</v>
      </c>
      <c r="B61" s="144" t="s">
        <v>101</v>
      </c>
      <c r="C61" s="138">
        <f>ROUND('Tulumaks 2021-2024'!K61/2.5*1.88,-3)</f>
        <v>4000</v>
      </c>
      <c r="D61" s="138">
        <f>Tasandusfond!AY61/Tasandusfond!AY$83*Tasandusfond!AY$84</f>
        <v>347.71544395684384</v>
      </c>
      <c r="E61" s="138">
        <f>Tasandusfond!AS61</f>
        <v>0</v>
      </c>
      <c r="F61" s="138">
        <f>Tasandusfond!AX61</f>
        <v>0</v>
      </c>
      <c r="G61" s="138">
        <f t="shared" si="0"/>
        <v>4347.715443956844</v>
      </c>
    </row>
    <row r="62" spans="1:7" x14ac:dyDescent="0.25">
      <c r="A62" s="148" t="s">
        <v>20</v>
      </c>
      <c r="B62" s="144" t="s">
        <v>223</v>
      </c>
      <c r="C62" s="138">
        <f>ROUND('Tulumaks 2021-2024'!K62/2.5*1.88,-3)</f>
        <v>1266000</v>
      </c>
      <c r="D62" s="138">
        <f>Tasandusfond!AY62/Tasandusfond!AY$83*Tasandusfond!AY$84</f>
        <v>114236.24448664188</v>
      </c>
      <c r="E62" s="138">
        <f>Tasandusfond!AS62</f>
        <v>215760</v>
      </c>
      <c r="F62" s="138">
        <f>Tasandusfond!AX62</f>
        <v>0</v>
      </c>
      <c r="G62" s="138">
        <f t="shared" si="0"/>
        <v>1595996.2444866418</v>
      </c>
    </row>
    <row r="63" spans="1:7" x14ac:dyDescent="0.25">
      <c r="A63" s="143" t="s">
        <v>13</v>
      </c>
      <c r="B63" s="144" t="s">
        <v>224</v>
      </c>
      <c r="C63" s="138">
        <f>ROUND('Tulumaks 2021-2024'!K63/2.5*1.88,-3)</f>
        <v>571000</v>
      </c>
      <c r="D63" s="138">
        <f>Tasandusfond!AY63/Tasandusfond!AY$83*Tasandusfond!AY$84</f>
        <v>51495.782800215078</v>
      </c>
      <c r="E63" s="138">
        <f>Tasandusfond!AS63</f>
        <v>0</v>
      </c>
      <c r="F63" s="138">
        <f>Tasandusfond!AX63</f>
        <v>10414.758337795618</v>
      </c>
      <c r="G63" s="138">
        <f t="shared" si="0"/>
        <v>632910.54113801068</v>
      </c>
    </row>
    <row r="64" spans="1:7" x14ac:dyDescent="0.25">
      <c r="A64" s="143" t="s">
        <v>13</v>
      </c>
      <c r="B64" s="144" t="s">
        <v>100</v>
      </c>
      <c r="C64" s="138">
        <f>ROUND('Tulumaks 2021-2024'!K64/2.5*1.88,-3)</f>
        <v>290000</v>
      </c>
      <c r="D64" s="138">
        <f>Tasandusfond!AY64/Tasandusfond!AY$83*Tasandusfond!AY$84</f>
        <v>26410.357379072579</v>
      </c>
      <c r="E64" s="138">
        <f>Tasandusfond!AS64</f>
        <v>13920</v>
      </c>
      <c r="F64" s="138">
        <f>Tasandusfond!AX64</f>
        <v>0</v>
      </c>
      <c r="G64" s="138">
        <f t="shared" si="0"/>
        <v>330330.35737907258</v>
      </c>
    </row>
    <row r="65" spans="1:7" x14ac:dyDescent="0.25">
      <c r="A65" s="143" t="s">
        <v>13</v>
      </c>
      <c r="B65" s="144" t="s">
        <v>225</v>
      </c>
      <c r="C65" s="138">
        <f>ROUND('Tulumaks 2021-2024'!K65/2.5*1.88,-3)</f>
        <v>170000</v>
      </c>
      <c r="D65" s="138">
        <f>Tasandusfond!AY65/Tasandusfond!AY$83*Tasandusfond!AY$84</f>
        <v>15373.82051917199</v>
      </c>
      <c r="E65" s="138">
        <f>Tasandusfond!AS65</f>
        <v>0</v>
      </c>
      <c r="F65" s="138">
        <f>Tasandusfond!AX65</f>
        <v>7227.7584460251092</v>
      </c>
      <c r="G65" s="138">
        <f t="shared" si="0"/>
        <v>192601.57896519711</v>
      </c>
    </row>
    <row r="66" spans="1:7" x14ac:dyDescent="0.25">
      <c r="A66" s="143" t="s">
        <v>13</v>
      </c>
      <c r="B66" s="144" t="s">
        <v>99</v>
      </c>
      <c r="C66" s="138">
        <f>ROUND('Tulumaks 2021-2024'!K66/2.5*1.88,-3)</f>
        <v>120000</v>
      </c>
      <c r="D66" s="138">
        <f>Tasandusfond!AY66/Tasandusfond!AY$83*Tasandusfond!AY$84</f>
        <v>10789.020953872961</v>
      </c>
      <c r="E66" s="138">
        <f>Tasandusfond!AS66</f>
        <v>0</v>
      </c>
      <c r="F66" s="138">
        <f>Tasandusfond!AX66</f>
        <v>0</v>
      </c>
      <c r="G66" s="138">
        <f t="shared" si="0"/>
        <v>130789.02095387297</v>
      </c>
    </row>
    <row r="67" spans="1:7" x14ac:dyDescent="0.25">
      <c r="A67" s="143" t="s">
        <v>13</v>
      </c>
      <c r="B67" s="144" t="s">
        <v>98</v>
      </c>
      <c r="C67" s="138">
        <f>ROUND('Tulumaks 2021-2024'!K67/2.5*1.88,-3)</f>
        <v>141000</v>
      </c>
      <c r="D67" s="138">
        <f>Tasandusfond!AY67/Tasandusfond!AY$83*Tasandusfond!AY$84</f>
        <v>12780.593249435962</v>
      </c>
      <c r="E67" s="138">
        <f>Tasandusfond!AS67</f>
        <v>0</v>
      </c>
      <c r="F67" s="138">
        <f>Tasandusfond!AX67</f>
        <v>0</v>
      </c>
      <c r="G67" s="138">
        <f t="shared" si="0"/>
        <v>153780.59324943597</v>
      </c>
    </row>
    <row r="68" spans="1:7" x14ac:dyDescent="0.25">
      <c r="A68" s="143" t="s">
        <v>13</v>
      </c>
      <c r="B68" s="144" t="s">
        <v>97</v>
      </c>
      <c r="C68" s="138">
        <f>ROUND('Tulumaks 2021-2024'!K68/2.5*1.88,-3)</f>
        <v>222000</v>
      </c>
      <c r="D68" s="138">
        <f>Tasandusfond!AY68/Tasandusfond!AY$83*Tasandusfond!AY$84</f>
        <v>19958.335967084826</v>
      </c>
      <c r="E68" s="138">
        <f>Tasandusfond!AS68</f>
        <v>0</v>
      </c>
      <c r="F68" s="138">
        <f>Tasandusfond!AX68</f>
        <v>73585.876175191777</v>
      </c>
      <c r="G68" s="138">
        <f t="shared" si="0"/>
        <v>315544.21214227658</v>
      </c>
    </row>
    <row r="69" spans="1:7" x14ac:dyDescent="0.25">
      <c r="A69" s="143" t="s">
        <v>13</v>
      </c>
      <c r="B69" s="144" t="s">
        <v>96</v>
      </c>
      <c r="C69" s="138">
        <f>ROUND('Tulumaks 2021-2024'!K69/2.5*1.88,-3)</f>
        <v>314000</v>
      </c>
      <c r="D69" s="138">
        <f>Tasandusfond!AY69/Tasandusfond!AY$83*Tasandusfond!AY$84</f>
        <v>28494.154848656526</v>
      </c>
      <c r="E69" s="138">
        <f>Tasandusfond!AS69</f>
        <v>0</v>
      </c>
      <c r="F69" s="138">
        <f>Tasandusfond!AX69</f>
        <v>37333.380691911676</v>
      </c>
      <c r="G69" s="138">
        <f t="shared" ref="G69:G82" si="1">SUM(C69:F69)</f>
        <v>379827.53554056818</v>
      </c>
    </row>
    <row r="70" spans="1:7" x14ac:dyDescent="0.25">
      <c r="A70" s="143" t="s">
        <v>13</v>
      </c>
      <c r="B70" s="144" t="s">
        <v>15</v>
      </c>
      <c r="C70" s="138">
        <f>ROUND('Tulumaks 2021-2024'!K70/2.5*1.88,-3)</f>
        <v>3342000</v>
      </c>
      <c r="D70" s="138">
        <f>Tasandusfond!AY70/Tasandusfond!AY$83*Tasandusfond!AY$84</f>
        <v>301716.05617663747</v>
      </c>
      <c r="E70" s="138">
        <f>Tasandusfond!AS70</f>
        <v>0</v>
      </c>
      <c r="F70" s="138">
        <f>Tasandusfond!AX70</f>
        <v>149360.19383851113</v>
      </c>
      <c r="G70" s="138">
        <f t="shared" si="1"/>
        <v>3793076.2500151484</v>
      </c>
    </row>
    <row r="71" spans="1:7" x14ac:dyDescent="0.25">
      <c r="A71" s="143" t="s">
        <v>10</v>
      </c>
      <c r="B71" s="144" t="s">
        <v>95</v>
      </c>
      <c r="C71" s="138">
        <f>ROUND('Tulumaks 2021-2024'!K71/2.5*1.88,-3)</f>
        <v>257000</v>
      </c>
      <c r="D71" s="138">
        <f>Tasandusfond!AY71/Tasandusfond!AY$83*Tasandusfond!AY$84</f>
        <v>23224.322898242681</v>
      </c>
      <c r="E71" s="138">
        <f>Tasandusfond!AS71</f>
        <v>0</v>
      </c>
      <c r="F71" s="138">
        <f>Tasandusfond!AX71</f>
        <v>94993.7710952161</v>
      </c>
      <c r="G71" s="138">
        <f t="shared" si="1"/>
        <v>375218.09399345878</v>
      </c>
    </row>
    <row r="72" spans="1:7" x14ac:dyDescent="0.25">
      <c r="A72" s="143" t="s">
        <v>10</v>
      </c>
      <c r="B72" s="144" t="s">
        <v>226</v>
      </c>
      <c r="C72" s="138">
        <f>ROUND('Tulumaks 2021-2024'!K72/2.5*1.88,-3)</f>
        <v>261000</v>
      </c>
      <c r="D72" s="138">
        <f>Tasandusfond!AY72/Tasandusfond!AY$83*Tasandusfond!AY$84</f>
        <v>23628.930801107104</v>
      </c>
      <c r="E72" s="138">
        <f>Tasandusfond!AS72</f>
        <v>0</v>
      </c>
      <c r="F72" s="138">
        <f>Tasandusfond!AX72</f>
        <v>108766.46109920647</v>
      </c>
      <c r="G72" s="138">
        <f t="shared" si="1"/>
        <v>393395.39190031355</v>
      </c>
    </row>
    <row r="73" spans="1:7" x14ac:dyDescent="0.25">
      <c r="A73" s="143" t="s">
        <v>10</v>
      </c>
      <c r="B73" s="144" t="s">
        <v>227</v>
      </c>
      <c r="C73" s="138">
        <f>ROUND('Tulumaks 2021-2024'!K73/2.5*1.88,-3)</f>
        <v>641000</v>
      </c>
      <c r="D73" s="138">
        <f>Tasandusfond!AY73/Tasandusfond!AY$83*Tasandusfond!AY$84</f>
        <v>57827.445645436492</v>
      </c>
      <c r="E73" s="138">
        <f>Tasandusfond!AS73</f>
        <v>0</v>
      </c>
      <c r="F73" s="138">
        <f>Tasandusfond!AX73</f>
        <v>93203.874921791954</v>
      </c>
      <c r="G73" s="138">
        <f t="shared" si="1"/>
        <v>792031.32056722848</v>
      </c>
    </row>
    <row r="74" spans="1:7" x14ac:dyDescent="0.25">
      <c r="A74" s="143" t="s">
        <v>6</v>
      </c>
      <c r="B74" s="144" t="s">
        <v>228</v>
      </c>
      <c r="C74" s="138">
        <f>ROUND('Tulumaks 2021-2024'!K74/2.5*1.88,-3)</f>
        <v>344000</v>
      </c>
      <c r="D74" s="138">
        <f>Tasandusfond!AY74/Tasandusfond!AY$83*Tasandusfond!AY$84</f>
        <v>31026.647560219953</v>
      </c>
      <c r="E74" s="138">
        <f>Tasandusfond!AS74</f>
        <v>0</v>
      </c>
      <c r="F74" s="138">
        <f>Tasandusfond!AX74</f>
        <v>227795.08202863921</v>
      </c>
      <c r="G74" s="138">
        <f t="shared" si="1"/>
        <v>602821.72958885925</v>
      </c>
    </row>
    <row r="75" spans="1:7" x14ac:dyDescent="0.25">
      <c r="A75" s="143" t="s">
        <v>6</v>
      </c>
      <c r="B75" s="144" t="s">
        <v>229</v>
      </c>
      <c r="C75" s="138">
        <f>ROUND('Tulumaks 2021-2024'!K75/2.5*1.88,-3)</f>
        <v>344000</v>
      </c>
      <c r="D75" s="138">
        <f>Tasandusfond!AY75/Tasandusfond!AY$83*Tasandusfond!AY$84</f>
        <v>31019.585060711961</v>
      </c>
      <c r="E75" s="138">
        <f>Tasandusfond!AS75</f>
        <v>0</v>
      </c>
      <c r="F75" s="138">
        <f>Tasandusfond!AX75</f>
        <v>200245.65332740638</v>
      </c>
      <c r="G75" s="138">
        <f t="shared" si="1"/>
        <v>575265.23838811833</v>
      </c>
    </row>
    <row r="76" spans="1:7" x14ac:dyDescent="0.25">
      <c r="A76" s="143" t="s">
        <v>6</v>
      </c>
      <c r="B76" s="144" t="s">
        <v>94</v>
      </c>
      <c r="C76" s="138">
        <f>ROUND('Tulumaks 2021-2024'!K76/2.5*1.88,-3)</f>
        <v>557000</v>
      </c>
      <c r="D76" s="138">
        <f>Tasandusfond!AY76/Tasandusfond!AY$83*Tasandusfond!AY$84</f>
        <v>50364.844645290716</v>
      </c>
      <c r="E76" s="138">
        <f>Tasandusfond!AS76</f>
        <v>0</v>
      </c>
      <c r="F76" s="138">
        <f>Tasandusfond!AX76</f>
        <v>142941.13800757099</v>
      </c>
      <c r="G76" s="138">
        <f t="shared" si="1"/>
        <v>750305.98265286174</v>
      </c>
    </row>
    <row r="77" spans="1:7" x14ac:dyDescent="0.25">
      <c r="A77" s="143" t="s">
        <v>6</v>
      </c>
      <c r="B77" s="144" t="s">
        <v>5</v>
      </c>
      <c r="C77" s="138">
        <f>ROUND('Tulumaks 2021-2024'!K77/2.5*1.88,-3)</f>
        <v>750000</v>
      </c>
      <c r="D77" s="138">
        <f>Tasandusfond!AY77/Tasandusfond!AY$83*Tasandusfond!AY$84</f>
        <v>67729.282844961679</v>
      </c>
      <c r="E77" s="138">
        <f>Tasandusfond!AS77</f>
        <v>0</v>
      </c>
      <c r="F77" s="138">
        <f>Tasandusfond!AX77</f>
        <v>66371.877238315297</v>
      </c>
      <c r="G77" s="138">
        <f t="shared" si="1"/>
        <v>884101.16008327692</v>
      </c>
    </row>
    <row r="78" spans="1:7" x14ac:dyDescent="0.25">
      <c r="A78" s="143" t="s">
        <v>1</v>
      </c>
      <c r="B78" s="144" t="s">
        <v>93</v>
      </c>
      <c r="C78" s="138">
        <f>ROUND('Tulumaks 2021-2024'!K78/2.5*1.88,-3)</f>
        <v>179000</v>
      </c>
      <c r="D78" s="138">
        <f>Tasandusfond!AY78/Tasandusfond!AY$83*Tasandusfond!AY$84</f>
        <v>16197.733809563615</v>
      </c>
      <c r="E78" s="138">
        <f>Tasandusfond!AS78</f>
        <v>0</v>
      </c>
      <c r="F78" s="138">
        <f>Tasandusfond!AX78</f>
        <v>69855.943535949365</v>
      </c>
      <c r="G78" s="138">
        <f t="shared" si="1"/>
        <v>265053.67734551302</v>
      </c>
    </row>
    <row r="79" spans="1:7" x14ac:dyDescent="0.25">
      <c r="A79" s="143" t="s">
        <v>1</v>
      </c>
      <c r="B79" s="144" t="s">
        <v>92</v>
      </c>
      <c r="C79" s="138">
        <f>ROUND('Tulumaks 2021-2024'!K79/2.5*1.88,-3)</f>
        <v>235000</v>
      </c>
      <c r="D79" s="138">
        <f>Tasandusfond!AY79/Tasandusfond!AY$83*Tasandusfond!AY$84</f>
        <v>21249.770481726919</v>
      </c>
      <c r="E79" s="138">
        <f>Tasandusfond!AS79</f>
        <v>0</v>
      </c>
      <c r="F79" s="138">
        <f>Tasandusfond!AX79</f>
        <v>18761.462768182682</v>
      </c>
      <c r="G79" s="138">
        <f t="shared" si="1"/>
        <v>275011.23324990959</v>
      </c>
    </row>
    <row r="80" spans="1:7" x14ac:dyDescent="0.25">
      <c r="A80" s="143" t="s">
        <v>1</v>
      </c>
      <c r="B80" s="144" t="s">
        <v>230</v>
      </c>
      <c r="C80" s="138">
        <f>ROUND('Tulumaks 2021-2024'!K80/2.5*1.88,-3)</f>
        <v>122000</v>
      </c>
      <c r="D80" s="138">
        <f>Tasandusfond!AY80/Tasandusfond!AY$83*Tasandusfond!AY$84</f>
        <v>10965.052116831825</v>
      </c>
      <c r="E80" s="138">
        <f>Tasandusfond!AS80</f>
        <v>0</v>
      </c>
      <c r="F80" s="138">
        <f>Tasandusfond!AX80</f>
        <v>82157.36751162319</v>
      </c>
      <c r="G80" s="138">
        <f t="shared" si="1"/>
        <v>215122.41962845501</v>
      </c>
    </row>
    <row r="81" spans="1:7" x14ac:dyDescent="0.25">
      <c r="A81" s="143" t="s">
        <v>1</v>
      </c>
      <c r="B81" s="144" t="s">
        <v>91</v>
      </c>
      <c r="C81" s="138">
        <f>ROUND('Tulumaks 2021-2024'!K81/2.5*1.88,-3)</f>
        <v>405000</v>
      </c>
      <c r="D81" s="138">
        <f>Tasandusfond!AY81/Tasandusfond!AY$83*Tasandusfond!AY$84</f>
        <v>36748.198852314526</v>
      </c>
      <c r="E81" s="138">
        <f>Tasandusfond!AS81</f>
        <v>0</v>
      </c>
      <c r="F81" s="138">
        <f>Tasandusfond!AX81</f>
        <v>133939.91815238725</v>
      </c>
      <c r="G81" s="138">
        <f t="shared" si="1"/>
        <v>575688.11700470175</v>
      </c>
    </row>
    <row r="82" spans="1:7" x14ac:dyDescent="0.25">
      <c r="A82" s="143" t="s">
        <v>1</v>
      </c>
      <c r="B82" s="144" t="s">
        <v>0</v>
      </c>
      <c r="C82" s="138">
        <f>ROUND('Tulumaks 2021-2024'!K82/2.5*1.88,-3)</f>
        <v>515000</v>
      </c>
      <c r="D82" s="138">
        <f>Tasandusfond!AY82/Tasandusfond!AY$83*Tasandusfond!AY$84</f>
        <v>46309.342879603792</v>
      </c>
      <c r="E82" s="138">
        <f>Tasandusfond!AS82</f>
        <v>0</v>
      </c>
      <c r="F82" s="138">
        <f>Tasandusfond!AX82</f>
        <v>75319.75647151086</v>
      </c>
      <c r="G82" s="138">
        <f t="shared" si="1"/>
        <v>636629.09935111471</v>
      </c>
    </row>
    <row r="83" spans="1:7" x14ac:dyDescent="0.25">
      <c r="A83" s="159"/>
      <c r="B83" s="160" t="s">
        <v>149</v>
      </c>
      <c r="C83" s="139">
        <f>SUM(C4:C82)</f>
        <v>50579000</v>
      </c>
      <c r="D83" s="139">
        <f t="shared" ref="D83:G83" si="2">SUM(D4:D82)</f>
        <v>4570000</v>
      </c>
      <c r="E83" s="139">
        <f t="shared" si="2"/>
        <v>647280</v>
      </c>
      <c r="F83" s="139">
        <f t="shared" si="2"/>
        <v>3622546.7166882609</v>
      </c>
      <c r="G83" s="139">
        <f t="shared" si="2"/>
        <v>59418826.716688238</v>
      </c>
    </row>
  </sheetData>
  <mergeCells count="6">
    <mergeCell ref="A1:A3"/>
    <mergeCell ref="B1:B3"/>
    <mergeCell ref="C1:G1"/>
    <mergeCell ref="C2:C3"/>
    <mergeCell ref="D2:F2"/>
    <mergeCell ref="G2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8"/>
  <sheetViews>
    <sheetView workbookViewId="0">
      <pane xSplit="2" ySplit="3" topLeftCell="C67" activePane="bottomRight" state="frozen"/>
      <selection pane="topRight" activeCell="D1" sqref="D1"/>
      <selection pane="bottomLeft" activeCell="A4" sqref="A4"/>
      <selection pane="bottomRight" activeCell="V88" sqref="V88"/>
    </sheetView>
  </sheetViews>
  <sheetFormatPr defaultRowHeight="12.75" x14ac:dyDescent="0.2"/>
  <cols>
    <col min="1" max="1" width="9.5703125" style="19" bestFit="1" customWidth="1"/>
    <col min="2" max="2" width="19.42578125" style="19" bestFit="1" customWidth="1"/>
    <col min="3" max="3" width="12.42578125" customWidth="1"/>
    <col min="4" max="4" width="12.5703125" bestFit="1" customWidth="1"/>
    <col min="5" max="5" width="10.28515625" bestFit="1" customWidth="1"/>
    <col min="6" max="6" width="11.28515625" bestFit="1" customWidth="1"/>
    <col min="7" max="7" width="12.5703125" bestFit="1" customWidth="1"/>
    <col min="8" max="8" width="8.28515625" customWidth="1"/>
    <col min="10" max="10" width="14.42578125" customWidth="1"/>
    <col min="11" max="11" width="13.7109375" customWidth="1"/>
    <col min="14" max="14" width="18.42578125" customWidth="1"/>
    <col min="17" max="17" width="10" customWidth="1"/>
    <col min="19" max="19" width="12.28515625" customWidth="1"/>
    <col min="21" max="22" width="10.28515625" bestFit="1" customWidth="1"/>
    <col min="23" max="23" width="9.5703125" bestFit="1" customWidth="1"/>
  </cols>
  <sheetData>
    <row r="1" spans="1:23" ht="49.5" customHeight="1" x14ac:dyDescent="0.2">
      <c r="A1" s="189" t="s">
        <v>148</v>
      </c>
      <c r="B1" s="189" t="s">
        <v>147</v>
      </c>
      <c r="C1" s="210" t="s">
        <v>201</v>
      </c>
      <c r="D1" s="211"/>
      <c r="E1" s="211"/>
      <c r="F1" s="211"/>
      <c r="G1" s="211"/>
      <c r="H1" s="211"/>
      <c r="I1" s="211"/>
      <c r="J1" s="215" t="s">
        <v>517</v>
      </c>
      <c r="K1" s="215" t="s">
        <v>503</v>
      </c>
      <c r="L1" s="215" t="s">
        <v>492</v>
      </c>
      <c r="M1" s="215" t="s">
        <v>490</v>
      </c>
      <c r="N1" s="215" t="s">
        <v>202</v>
      </c>
      <c r="O1" s="217"/>
      <c r="P1" s="217"/>
      <c r="Q1" s="217"/>
      <c r="R1" s="215" t="s">
        <v>203</v>
      </c>
      <c r="S1" s="217"/>
      <c r="T1" s="217"/>
      <c r="U1" s="212" t="s">
        <v>396</v>
      </c>
      <c r="V1" s="215" t="s">
        <v>368</v>
      </c>
      <c r="W1" s="215" t="s">
        <v>166</v>
      </c>
    </row>
    <row r="2" spans="1:23" ht="54" customHeight="1" x14ac:dyDescent="0.2">
      <c r="A2" s="189"/>
      <c r="B2" s="189"/>
      <c r="C2" s="210" t="s">
        <v>383</v>
      </c>
      <c r="D2" s="214" t="s">
        <v>395</v>
      </c>
      <c r="E2" s="214"/>
      <c r="F2" s="214"/>
      <c r="G2" s="199"/>
      <c r="H2" s="199"/>
      <c r="I2" s="199"/>
      <c r="J2" s="216"/>
      <c r="K2" s="216"/>
      <c r="L2" s="216"/>
      <c r="M2" s="217"/>
      <c r="N2" s="96" t="s">
        <v>204</v>
      </c>
      <c r="O2" s="96" t="s">
        <v>205</v>
      </c>
      <c r="P2" s="96" t="s">
        <v>206</v>
      </c>
      <c r="Q2" s="96" t="s">
        <v>149</v>
      </c>
      <c r="R2" s="96" t="s">
        <v>207</v>
      </c>
      <c r="S2" s="96" t="s">
        <v>206</v>
      </c>
      <c r="T2" s="96" t="s">
        <v>149</v>
      </c>
      <c r="U2" s="212"/>
      <c r="V2" s="215"/>
      <c r="W2" s="215"/>
    </row>
    <row r="3" spans="1:23" ht="25.5" x14ac:dyDescent="0.2">
      <c r="A3" s="189"/>
      <c r="B3" s="189"/>
      <c r="C3" s="190"/>
      <c r="D3" s="96" t="s">
        <v>208</v>
      </c>
      <c r="E3" s="96" t="s">
        <v>209</v>
      </c>
      <c r="F3" s="96" t="s">
        <v>145</v>
      </c>
      <c r="G3" s="96" t="s">
        <v>149</v>
      </c>
      <c r="H3" s="96" t="s">
        <v>210</v>
      </c>
      <c r="I3" s="96" t="s">
        <v>163</v>
      </c>
      <c r="J3" s="216"/>
      <c r="K3" s="216"/>
      <c r="L3" s="216"/>
      <c r="M3" s="217"/>
      <c r="N3" s="169">
        <v>0.8</v>
      </c>
      <c r="O3" s="169">
        <v>0.1</v>
      </c>
      <c r="P3" s="169">
        <v>0.1</v>
      </c>
      <c r="Q3" s="169">
        <v>0.5</v>
      </c>
      <c r="R3" s="169">
        <v>0.9</v>
      </c>
      <c r="S3" s="169">
        <v>0.1</v>
      </c>
      <c r="T3" s="169">
        <f>100%-Q3</f>
        <v>0.5</v>
      </c>
      <c r="U3" s="213"/>
      <c r="V3" s="217"/>
      <c r="W3" s="217"/>
    </row>
    <row r="4" spans="1:23" x14ac:dyDescent="0.2">
      <c r="A4" s="20" t="s">
        <v>69</v>
      </c>
      <c r="B4" s="21" t="s">
        <v>138</v>
      </c>
      <c r="C4" s="14">
        <v>6431</v>
      </c>
      <c r="D4" s="14">
        <f>'Tulumaks 2021-2024'!O4</f>
        <v>7256806</v>
      </c>
      <c r="E4" s="14">
        <v>243284.69</v>
      </c>
      <c r="F4" s="14">
        <v>380973</v>
      </c>
      <c r="G4" s="14">
        <f>SUM(D4:F4)</f>
        <v>7881063.6900000004</v>
      </c>
      <c r="H4" s="14">
        <f>G4/C4</f>
        <v>1225.4802814492305</v>
      </c>
      <c r="I4" s="38">
        <f>H4/H$83</f>
        <v>0.90461585087466456</v>
      </c>
      <c r="J4" s="13">
        <v>3.23</v>
      </c>
      <c r="K4" s="14">
        <v>59</v>
      </c>
      <c r="L4" s="13">
        <v>954</v>
      </c>
      <c r="M4" s="14">
        <v>44</v>
      </c>
      <c r="N4" s="14">
        <f>ROUND($K4*N$86/$I4,0)</f>
        <v>27192</v>
      </c>
      <c r="O4" s="14">
        <f>ROUND($L4*O$86/$I4,0)</f>
        <v>2661</v>
      </c>
      <c r="P4" s="14">
        <f>ROUND($M4*P$86/$I4,0)</f>
        <v>2237</v>
      </c>
      <c r="Q4" s="14">
        <f>SUM(N4:P4)</f>
        <v>32090</v>
      </c>
      <c r="R4" s="14">
        <f>ROUND($L4*R$86/$I4*$J4,0)</f>
        <v>53817</v>
      </c>
      <c r="S4" s="14">
        <f>ROUND($M4*S$86/$I4*$J4,0)</f>
        <v>4607</v>
      </c>
      <c r="T4" s="14">
        <f>SUM(R4:S4)</f>
        <v>58424</v>
      </c>
      <c r="U4" s="40">
        <f>Q4+T4</f>
        <v>90514</v>
      </c>
      <c r="V4" s="14">
        <v>118075</v>
      </c>
      <c r="W4" s="14">
        <f>U4-V4</f>
        <v>-27561</v>
      </c>
    </row>
    <row r="5" spans="1:23" x14ac:dyDescent="0.2">
      <c r="A5" s="20" t="s">
        <v>69</v>
      </c>
      <c r="B5" s="21" t="s">
        <v>137</v>
      </c>
      <c r="C5" s="14">
        <v>17520</v>
      </c>
      <c r="D5" s="14">
        <f>'Tulumaks 2021-2024'!O5</f>
        <v>30132846</v>
      </c>
      <c r="E5" s="14">
        <v>1288070.5</v>
      </c>
      <c r="F5" s="14">
        <v>0</v>
      </c>
      <c r="G5" s="14">
        <f t="shared" ref="G5:G68" si="0">SUM(D5:F5)</f>
        <v>31420916.5</v>
      </c>
      <c r="H5" s="14">
        <f t="shared" ref="H5:H68" si="1">G5/C5</f>
        <v>1793.4313070776257</v>
      </c>
      <c r="I5" s="38">
        <f t="shared" ref="I5:I68" si="2">H5/H$83</f>
        <v>1.3238616829629504</v>
      </c>
      <c r="J5" s="13">
        <v>1.89</v>
      </c>
      <c r="K5" s="14">
        <v>26</v>
      </c>
      <c r="L5" s="13">
        <v>3557</v>
      </c>
      <c r="M5" s="14">
        <v>111</v>
      </c>
      <c r="N5" s="14">
        <f t="shared" ref="N5:N68" si="3">ROUND($K5*N$86/$I5,0)</f>
        <v>8188</v>
      </c>
      <c r="O5" s="14">
        <f t="shared" ref="O5:O68" si="4">ROUND($L5*O$86/$I5,0)</f>
        <v>6780</v>
      </c>
      <c r="P5" s="14">
        <f t="shared" ref="P5:P68" si="5">ROUND($M5*P$86/$I5,0)</f>
        <v>3856</v>
      </c>
      <c r="Q5" s="14">
        <f t="shared" ref="Q5:Q68" si="6">SUM(N5:P5)</f>
        <v>18824</v>
      </c>
      <c r="R5" s="14">
        <f t="shared" ref="R5:R68" si="7">ROUND($L5*R$86/$I5*$J5,0)</f>
        <v>80230</v>
      </c>
      <c r="S5" s="14">
        <f t="shared" ref="S5:S68" si="8">ROUND($M5*S$86/$I5*$J5,0)</f>
        <v>4647</v>
      </c>
      <c r="T5" s="14">
        <f t="shared" ref="T5:T68" si="9">SUM(R5:S5)</f>
        <v>84877</v>
      </c>
      <c r="U5" s="40">
        <f t="shared" ref="U5:U68" si="10">Q5+T5</f>
        <v>103701</v>
      </c>
      <c r="V5" s="14">
        <v>108509</v>
      </c>
      <c r="W5" s="14">
        <f t="shared" ref="W5:W68" si="11">U5-V5</f>
        <v>-4808</v>
      </c>
    </row>
    <row r="6" spans="1:23" x14ac:dyDescent="0.2">
      <c r="A6" s="20" t="s">
        <v>69</v>
      </c>
      <c r="B6" s="21" t="s">
        <v>136</v>
      </c>
      <c r="C6" s="14">
        <v>7217</v>
      </c>
      <c r="D6" s="14">
        <f>'Tulumaks 2021-2024'!O6</f>
        <v>10868008</v>
      </c>
      <c r="E6" s="14">
        <v>997153.55000000098</v>
      </c>
      <c r="F6" s="14">
        <v>0</v>
      </c>
      <c r="G6" s="14">
        <f t="shared" si="0"/>
        <v>11865161.550000001</v>
      </c>
      <c r="H6" s="14">
        <f t="shared" si="1"/>
        <v>1644.0573022031315</v>
      </c>
      <c r="I6" s="38">
        <f t="shared" si="2"/>
        <v>1.213597899396968</v>
      </c>
      <c r="J6" s="13">
        <v>3.6</v>
      </c>
      <c r="K6" s="14">
        <v>17</v>
      </c>
      <c r="L6" s="13">
        <v>1299</v>
      </c>
      <c r="M6" s="14">
        <v>42</v>
      </c>
      <c r="N6" s="14">
        <f t="shared" si="3"/>
        <v>5840</v>
      </c>
      <c r="O6" s="14">
        <f t="shared" si="4"/>
        <v>2701</v>
      </c>
      <c r="P6" s="14">
        <f t="shared" si="5"/>
        <v>1591</v>
      </c>
      <c r="Q6" s="14">
        <f t="shared" si="6"/>
        <v>10132</v>
      </c>
      <c r="R6" s="14">
        <f t="shared" si="7"/>
        <v>60880</v>
      </c>
      <c r="S6" s="14">
        <f t="shared" si="8"/>
        <v>3653</v>
      </c>
      <c r="T6" s="14">
        <f t="shared" si="9"/>
        <v>64533</v>
      </c>
      <c r="U6" s="40">
        <f t="shared" si="10"/>
        <v>74665</v>
      </c>
      <c r="V6" s="14">
        <v>77090</v>
      </c>
      <c r="W6" s="14">
        <f t="shared" si="11"/>
        <v>-2425</v>
      </c>
    </row>
    <row r="7" spans="1:23" x14ac:dyDescent="0.2">
      <c r="A7" s="20" t="s">
        <v>69</v>
      </c>
      <c r="B7" s="21" t="s">
        <v>81</v>
      </c>
      <c r="C7" s="14">
        <v>10387</v>
      </c>
      <c r="D7" s="14">
        <f>'Tulumaks 2021-2024'!O7</f>
        <v>14625776</v>
      </c>
      <c r="E7" s="14">
        <v>150453.20000000001</v>
      </c>
      <c r="F7" s="14">
        <v>0</v>
      </c>
      <c r="G7" s="14">
        <f t="shared" si="0"/>
        <v>14776229.199999999</v>
      </c>
      <c r="H7" s="14">
        <f t="shared" si="1"/>
        <v>1422.5694810821219</v>
      </c>
      <c r="I7" s="38">
        <f t="shared" si="2"/>
        <v>1.0501016793477855</v>
      </c>
      <c r="J7" s="13">
        <v>0</v>
      </c>
      <c r="K7" s="14">
        <v>71</v>
      </c>
      <c r="L7" s="13">
        <v>1858</v>
      </c>
      <c r="M7" s="14">
        <v>93</v>
      </c>
      <c r="N7" s="14">
        <f t="shared" si="3"/>
        <v>28189</v>
      </c>
      <c r="O7" s="14">
        <f t="shared" si="4"/>
        <v>4465</v>
      </c>
      <c r="P7" s="14">
        <f t="shared" si="5"/>
        <v>4073</v>
      </c>
      <c r="Q7" s="14">
        <f t="shared" si="6"/>
        <v>36727</v>
      </c>
      <c r="R7" s="14">
        <f t="shared" si="7"/>
        <v>0</v>
      </c>
      <c r="S7" s="14">
        <f t="shared" si="8"/>
        <v>0</v>
      </c>
      <c r="T7" s="14">
        <f t="shared" si="9"/>
        <v>0</v>
      </c>
      <c r="U7" s="40">
        <f t="shared" si="10"/>
        <v>36727</v>
      </c>
      <c r="V7" s="14">
        <v>37038</v>
      </c>
      <c r="W7" s="14">
        <f t="shared" si="11"/>
        <v>-311</v>
      </c>
    </row>
    <row r="8" spans="1:23" x14ac:dyDescent="0.2">
      <c r="A8" s="20" t="s">
        <v>69</v>
      </c>
      <c r="B8" s="21" t="s">
        <v>135</v>
      </c>
      <c r="C8" s="14">
        <v>6364</v>
      </c>
      <c r="D8" s="14">
        <f>'Tulumaks 2021-2024'!O8</f>
        <v>11089302</v>
      </c>
      <c r="E8" s="14">
        <v>214302.070000001</v>
      </c>
      <c r="F8" s="14">
        <v>0</v>
      </c>
      <c r="G8" s="14">
        <f t="shared" si="0"/>
        <v>11303604.07</v>
      </c>
      <c r="H8" s="14">
        <f t="shared" si="1"/>
        <v>1776.1791436203646</v>
      </c>
      <c r="I8" s="38">
        <f t="shared" si="2"/>
        <v>1.3111266102232544</v>
      </c>
      <c r="J8" s="13">
        <v>2.97</v>
      </c>
      <c r="K8" s="14">
        <v>5</v>
      </c>
      <c r="L8" s="13">
        <v>1348</v>
      </c>
      <c r="M8" s="14">
        <v>57</v>
      </c>
      <c r="N8" s="14">
        <f t="shared" si="3"/>
        <v>1590</v>
      </c>
      <c r="O8" s="14">
        <f t="shared" si="4"/>
        <v>2594</v>
      </c>
      <c r="P8" s="14">
        <f t="shared" si="5"/>
        <v>1999</v>
      </c>
      <c r="Q8" s="14">
        <f t="shared" si="6"/>
        <v>6183</v>
      </c>
      <c r="R8" s="14">
        <f t="shared" si="7"/>
        <v>48243</v>
      </c>
      <c r="S8" s="14">
        <f t="shared" si="8"/>
        <v>3786</v>
      </c>
      <c r="T8" s="14">
        <f t="shared" si="9"/>
        <v>52029</v>
      </c>
      <c r="U8" s="40">
        <f t="shared" si="10"/>
        <v>58212</v>
      </c>
      <c r="V8" s="14">
        <v>59164</v>
      </c>
      <c r="W8" s="14">
        <f t="shared" si="11"/>
        <v>-952</v>
      </c>
    </row>
    <row r="9" spans="1:23" x14ac:dyDescent="0.2">
      <c r="A9" s="20" t="s">
        <v>69</v>
      </c>
      <c r="B9" s="21" t="s">
        <v>134</v>
      </c>
      <c r="C9" s="14">
        <v>7700</v>
      </c>
      <c r="D9" s="14">
        <f>'Tulumaks 2021-2024'!O9</f>
        <v>9831000</v>
      </c>
      <c r="E9" s="14">
        <v>268783.99</v>
      </c>
      <c r="F9" s="14">
        <v>1462518</v>
      </c>
      <c r="G9" s="14">
        <f t="shared" si="0"/>
        <v>11562301.99</v>
      </c>
      <c r="H9" s="14">
        <f t="shared" si="1"/>
        <v>1501.5976610389612</v>
      </c>
      <c r="I9" s="38">
        <f t="shared" si="2"/>
        <v>1.1084381090210476</v>
      </c>
      <c r="J9" s="13">
        <v>3.75</v>
      </c>
      <c r="K9" s="14">
        <v>68</v>
      </c>
      <c r="L9" s="13">
        <v>1312</v>
      </c>
      <c r="M9" s="14">
        <v>60</v>
      </c>
      <c r="N9" s="14">
        <f t="shared" si="3"/>
        <v>25577</v>
      </c>
      <c r="O9" s="14">
        <f t="shared" si="4"/>
        <v>2987</v>
      </c>
      <c r="P9" s="14">
        <f t="shared" si="5"/>
        <v>2489</v>
      </c>
      <c r="Q9" s="14">
        <f t="shared" si="6"/>
        <v>31053</v>
      </c>
      <c r="R9" s="14">
        <f t="shared" si="7"/>
        <v>70127</v>
      </c>
      <c r="S9" s="14">
        <f t="shared" si="8"/>
        <v>5952</v>
      </c>
      <c r="T9" s="14">
        <f t="shared" si="9"/>
        <v>76079</v>
      </c>
      <c r="U9" s="40">
        <f t="shared" si="10"/>
        <v>107132</v>
      </c>
      <c r="V9" s="14">
        <v>107358</v>
      </c>
      <c r="W9" s="14">
        <f t="shared" si="11"/>
        <v>-226</v>
      </c>
    </row>
    <row r="10" spans="1:23" x14ac:dyDescent="0.2">
      <c r="A10" s="20" t="s">
        <v>69</v>
      </c>
      <c r="B10" s="21" t="s">
        <v>133</v>
      </c>
      <c r="C10" s="14">
        <v>6614</v>
      </c>
      <c r="D10" s="14">
        <f>'Tulumaks 2021-2024'!O10</f>
        <v>8282138</v>
      </c>
      <c r="E10" s="14">
        <v>353205.95999999973</v>
      </c>
      <c r="F10" s="14">
        <v>557339</v>
      </c>
      <c r="G10" s="14">
        <f t="shared" si="0"/>
        <v>9192682.959999999</v>
      </c>
      <c r="H10" s="14">
        <f t="shared" si="1"/>
        <v>1389.8825158754157</v>
      </c>
      <c r="I10" s="38">
        <f t="shared" si="2"/>
        <v>1.0259730603152482</v>
      </c>
      <c r="J10" s="13">
        <v>4.59</v>
      </c>
      <c r="K10" s="14">
        <v>13</v>
      </c>
      <c r="L10" s="13">
        <v>1075</v>
      </c>
      <c r="M10" s="14">
        <v>42</v>
      </c>
      <c r="N10" s="14">
        <f t="shared" si="3"/>
        <v>5283</v>
      </c>
      <c r="O10" s="14">
        <f t="shared" si="4"/>
        <v>2644</v>
      </c>
      <c r="P10" s="14">
        <f t="shared" si="5"/>
        <v>1882</v>
      </c>
      <c r="Q10" s="14">
        <f t="shared" si="6"/>
        <v>9809</v>
      </c>
      <c r="R10" s="14">
        <f t="shared" si="7"/>
        <v>75984</v>
      </c>
      <c r="S10" s="14">
        <f t="shared" si="8"/>
        <v>5510</v>
      </c>
      <c r="T10" s="14">
        <f t="shared" si="9"/>
        <v>81494</v>
      </c>
      <c r="U10" s="40">
        <f t="shared" si="10"/>
        <v>91303</v>
      </c>
      <c r="V10" s="14">
        <v>93157</v>
      </c>
      <c r="W10" s="14">
        <f t="shared" si="11"/>
        <v>-1854</v>
      </c>
    </row>
    <row r="11" spans="1:23" x14ac:dyDescent="0.2">
      <c r="A11" s="20" t="s">
        <v>69</v>
      </c>
      <c r="B11" s="21" t="s">
        <v>83</v>
      </c>
      <c r="C11" s="14">
        <v>2498</v>
      </c>
      <c r="D11" s="14">
        <f>'Tulumaks 2021-2024'!O11</f>
        <v>2031296</v>
      </c>
      <c r="E11" s="14">
        <v>59468.099999999897</v>
      </c>
      <c r="F11" s="14">
        <v>387870</v>
      </c>
      <c r="G11" s="14">
        <f t="shared" si="0"/>
        <v>2478634.0999999996</v>
      </c>
      <c r="H11" s="14">
        <f t="shared" si="1"/>
        <v>992.24743795036011</v>
      </c>
      <c r="I11" s="38">
        <f t="shared" si="2"/>
        <v>0.73244977821934631</v>
      </c>
      <c r="J11" s="13">
        <v>2.76</v>
      </c>
      <c r="K11" s="14">
        <v>54</v>
      </c>
      <c r="L11" s="13">
        <v>251</v>
      </c>
      <c r="M11" s="14">
        <v>5</v>
      </c>
      <c r="N11" s="14">
        <f t="shared" si="3"/>
        <v>30738</v>
      </c>
      <c r="O11" s="14">
        <f t="shared" si="4"/>
        <v>865</v>
      </c>
      <c r="P11" s="14">
        <f t="shared" si="5"/>
        <v>314</v>
      </c>
      <c r="Q11" s="14">
        <f t="shared" si="6"/>
        <v>31917</v>
      </c>
      <c r="R11" s="14">
        <f t="shared" si="7"/>
        <v>14943</v>
      </c>
      <c r="S11" s="14">
        <f t="shared" si="8"/>
        <v>552</v>
      </c>
      <c r="T11" s="14">
        <f t="shared" si="9"/>
        <v>15495</v>
      </c>
      <c r="U11" s="40">
        <f t="shared" si="10"/>
        <v>47412</v>
      </c>
      <c r="V11" s="14">
        <v>43516</v>
      </c>
      <c r="W11" s="14">
        <f t="shared" si="11"/>
        <v>3896</v>
      </c>
    </row>
    <row r="12" spans="1:23" x14ac:dyDescent="0.2">
      <c r="A12" s="20" t="s">
        <v>69</v>
      </c>
      <c r="B12" s="21" t="s">
        <v>231</v>
      </c>
      <c r="C12" s="14">
        <v>13604</v>
      </c>
      <c r="D12" s="14">
        <f>'Tulumaks 2021-2024'!O12</f>
        <v>16141009</v>
      </c>
      <c r="E12" s="14">
        <v>910350.41000000807</v>
      </c>
      <c r="F12" s="14">
        <v>1180655.1819901536</v>
      </c>
      <c r="G12" s="14">
        <f t="shared" si="0"/>
        <v>18232014.591990162</v>
      </c>
      <c r="H12" s="14">
        <f t="shared" si="1"/>
        <v>1340.1951331953956</v>
      </c>
      <c r="I12" s="38">
        <f t="shared" si="2"/>
        <v>0.98929520050695596</v>
      </c>
      <c r="J12" s="13">
        <v>3.38</v>
      </c>
      <c r="K12" s="14">
        <v>157</v>
      </c>
      <c r="L12" s="13">
        <v>1968</v>
      </c>
      <c r="M12" s="14">
        <v>92</v>
      </c>
      <c r="N12" s="14">
        <f t="shared" si="3"/>
        <v>66166</v>
      </c>
      <c r="O12" s="14">
        <f t="shared" si="4"/>
        <v>5020</v>
      </c>
      <c r="P12" s="14">
        <f t="shared" si="5"/>
        <v>4276</v>
      </c>
      <c r="Q12" s="14">
        <f t="shared" si="6"/>
        <v>75462</v>
      </c>
      <c r="R12" s="14">
        <f t="shared" si="7"/>
        <v>106231</v>
      </c>
      <c r="S12" s="14">
        <f t="shared" si="8"/>
        <v>9216</v>
      </c>
      <c r="T12" s="14">
        <f t="shared" si="9"/>
        <v>115447</v>
      </c>
      <c r="U12" s="40">
        <f t="shared" si="10"/>
        <v>190909</v>
      </c>
      <c r="V12" s="14">
        <v>183863</v>
      </c>
      <c r="W12" s="14">
        <f t="shared" si="11"/>
        <v>7046</v>
      </c>
    </row>
    <row r="13" spans="1:23" x14ac:dyDescent="0.2">
      <c r="A13" s="20" t="s">
        <v>69</v>
      </c>
      <c r="B13" s="21" t="s">
        <v>68</v>
      </c>
      <c r="C13" s="14">
        <v>16040</v>
      </c>
      <c r="D13" s="14">
        <f>'Tulumaks 2021-2024'!O13</f>
        <v>16963615</v>
      </c>
      <c r="E13" s="14">
        <v>1797767.76999999</v>
      </c>
      <c r="F13" s="14">
        <v>0</v>
      </c>
      <c r="G13" s="14">
        <f t="shared" si="0"/>
        <v>18761382.769999988</v>
      </c>
      <c r="H13" s="14">
        <f t="shared" si="1"/>
        <v>1169.6622674563584</v>
      </c>
      <c r="I13" s="38">
        <f t="shared" si="2"/>
        <v>0.86341252758448261</v>
      </c>
      <c r="J13" s="13">
        <v>0</v>
      </c>
      <c r="K13" s="14">
        <v>188</v>
      </c>
      <c r="L13" s="13">
        <v>2216</v>
      </c>
      <c r="M13" s="14">
        <v>78</v>
      </c>
      <c r="N13" s="14">
        <f t="shared" si="3"/>
        <v>90781</v>
      </c>
      <c r="O13" s="14">
        <f t="shared" si="4"/>
        <v>6476</v>
      </c>
      <c r="P13" s="14">
        <f t="shared" si="5"/>
        <v>4154</v>
      </c>
      <c r="Q13" s="14">
        <f t="shared" si="6"/>
        <v>101411</v>
      </c>
      <c r="R13" s="14">
        <f t="shared" si="7"/>
        <v>0</v>
      </c>
      <c r="S13" s="14">
        <f t="shared" si="8"/>
        <v>0</v>
      </c>
      <c r="T13" s="14">
        <f t="shared" si="9"/>
        <v>0</v>
      </c>
      <c r="U13" s="40">
        <f t="shared" si="10"/>
        <v>101411</v>
      </c>
      <c r="V13" s="14">
        <v>85362</v>
      </c>
      <c r="W13" s="14">
        <f t="shared" si="11"/>
        <v>16049</v>
      </c>
    </row>
    <row r="14" spans="1:23" x14ac:dyDescent="0.2">
      <c r="A14" s="20" t="s">
        <v>69</v>
      </c>
      <c r="B14" s="21" t="s">
        <v>132</v>
      </c>
      <c r="C14" s="14">
        <v>5344</v>
      </c>
      <c r="D14" s="14">
        <f>'Tulumaks 2021-2024'!O14</f>
        <v>7573192</v>
      </c>
      <c r="E14" s="14">
        <v>151268.84</v>
      </c>
      <c r="F14" s="14">
        <v>200355</v>
      </c>
      <c r="G14" s="14">
        <f t="shared" si="0"/>
        <v>7924815.8399999999</v>
      </c>
      <c r="H14" s="14">
        <f t="shared" si="1"/>
        <v>1482.9370958083832</v>
      </c>
      <c r="I14" s="38">
        <f t="shared" si="2"/>
        <v>1.0946633928143545</v>
      </c>
      <c r="J14" s="13">
        <v>2.66</v>
      </c>
      <c r="K14" s="14">
        <v>6</v>
      </c>
      <c r="L14" s="13">
        <v>972</v>
      </c>
      <c r="M14" s="14">
        <v>38</v>
      </c>
      <c r="N14" s="14">
        <f t="shared" si="3"/>
        <v>2285</v>
      </c>
      <c r="O14" s="14">
        <f t="shared" si="4"/>
        <v>2241</v>
      </c>
      <c r="P14" s="14">
        <f t="shared" si="5"/>
        <v>1596</v>
      </c>
      <c r="Q14" s="14">
        <f t="shared" si="6"/>
        <v>6122</v>
      </c>
      <c r="R14" s="14">
        <f t="shared" si="7"/>
        <v>37317</v>
      </c>
      <c r="S14" s="14">
        <f t="shared" si="8"/>
        <v>2708</v>
      </c>
      <c r="T14" s="14">
        <f t="shared" si="9"/>
        <v>40025</v>
      </c>
      <c r="U14" s="40">
        <f t="shared" si="10"/>
        <v>46147</v>
      </c>
      <c r="V14" s="14">
        <v>47735</v>
      </c>
      <c r="W14" s="14">
        <f t="shared" si="11"/>
        <v>-1588</v>
      </c>
    </row>
    <row r="15" spans="1:23" x14ac:dyDescent="0.2">
      <c r="A15" s="20" t="s">
        <v>69</v>
      </c>
      <c r="B15" s="22" t="s">
        <v>131</v>
      </c>
      <c r="C15" s="14">
        <v>23147</v>
      </c>
      <c r="D15" s="14">
        <f>'Tulumaks 2021-2024'!O15</f>
        <v>42376830</v>
      </c>
      <c r="E15" s="14">
        <v>998419.43000000506</v>
      </c>
      <c r="F15" s="14">
        <v>0</v>
      </c>
      <c r="G15" s="14">
        <f t="shared" si="0"/>
        <v>43375249.430000007</v>
      </c>
      <c r="H15" s="14">
        <f t="shared" si="1"/>
        <v>1873.903721000562</v>
      </c>
      <c r="I15" s="38">
        <f t="shared" si="2"/>
        <v>1.3832642064427629</v>
      </c>
      <c r="J15" s="13">
        <v>1.35</v>
      </c>
      <c r="K15" s="14">
        <v>30</v>
      </c>
      <c r="L15" s="13">
        <v>5222</v>
      </c>
      <c r="M15" s="14">
        <v>188</v>
      </c>
      <c r="N15" s="14">
        <f t="shared" si="3"/>
        <v>9042</v>
      </c>
      <c r="O15" s="14">
        <f t="shared" si="4"/>
        <v>9526</v>
      </c>
      <c r="P15" s="14">
        <f t="shared" si="5"/>
        <v>6250</v>
      </c>
      <c r="Q15" s="14">
        <f t="shared" si="6"/>
        <v>24818</v>
      </c>
      <c r="R15" s="14">
        <f t="shared" si="7"/>
        <v>80519</v>
      </c>
      <c r="S15" s="14">
        <f t="shared" si="8"/>
        <v>5380</v>
      </c>
      <c r="T15" s="14">
        <f t="shared" si="9"/>
        <v>85899</v>
      </c>
      <c r="U15" s="40">
        <f t="shared" si="10"/>
        <v>110717</v>
      </c>
      <c r="V15" s="14">
        <v>112642</v>
      </c>
      <c r="W15" s="14">
        <f t="shared" si="11"/>
        <v>-1925</v>
      </c>
    </row>
    <row r="16" spans="1:23" x14ac:dyDescent="0.2">
      <c r="A16" s="20" t="s">
        <v>69</v>
      </c>
      <c r="B16" s="21" t="s">
        <v>130</v>
      </c>
      <c r="C16" s="14">
        <v>11644</v>
      </c>
      <c r="D16" s="14">
        <f>'Tulumaks 2021-2024'!O16</f>
        <v>18923443</v>
      </c>
      <c r="E16" s="14">
        <v>413070.1500000009</v>
      </c>
      <c r="F16" s="14">
        <v>0</v>
      </c>
      <c r="G16" s="14">
        <f t="shared" si="0"/>
        <v>19336513.150000002</v>
      </c>
      <c r="H16" s="14">
        <f t="shared" si="1"/>
        <v>1660.6418026451393</v>
      </c>
      <c r="I16" s="38">
        <f t="shared" si="2"/>
        <v>1.2258401216552783</v>
      </c>
      <c r="J16" s="13">
        <v>2.3199999999999998</v>
      </c>
      <c r="K16" s="14">
        <v>26</v>
      </c>
      <c r="L16" s="13">
        <v>2355</v>
      </c>
      <c r="M16" s="14">
        <v>81</v>
      </c>
      <c r="N16" s="14">
        <f t="shared" si="3"/>
        <v>8843</v>
      </c>
      <c r="O16" s="14">
        <f t="shared" si="4"/>
        <v>4848</v>
      </c>
      <c r="P16" s="14">
        <f t="shared" si="5"/>
        <v>3039</v>
      </c>
      <c r="Q16" s="14">
        <f t="shared" si="6"/>
        <v>16730</v>
      </c>
      <c r="R16" s="14">
        <f t="shared" si="7"/>
        <v>70417</v>
      </c>
      <c r="S16" s="14">
        <f t="shared" si="8"/>
        <v>4495</v>
      </c>
      <c r="T16" s="14">
        <f t="shared" si="9"/>
        <v>74912</v>
      </c>
      <c r="U16" s="40">
        <f t="shared" si="10"/>
        <v>91642</v>
      </c>
      <c r="V16" s="14">
        <v>100387</v>
      </c>
      <c r="W16" s="14">
        <f t="shared" si="11"/>
        <v>-8745</v>
      </c>
    </row>
    <row r="17" spans="1:23" x14ac:dyDescent="0.2">
      <c r="A17" s="20" t="s">
        <v>69</v>
      </c>
      <c r="B17" s="21" t="s">
        <v>129</v>
      </c>
      <c r="C17" s="14">
        <v>25571</v>
      </c>
      <c r="D17" s="14">
        <f>'Tulumaks 2021-2024'!O17</f>
        <v>40146902</v>
      </c>
      <c r="E17" s="14">
        <v>784119.66000000294</v>
      </c>
      <c r="F17" s="14">
        <v>352335.75362703623</v>
      </c>
      <c r="G17" s="14">
        <f t="shared" si="0"/>
        <v>41283357.413627043</v>
      </c>
      <c r="H17" s="14">
        <f t="shared" si="1"/>
        <v>1614.4600294719426</v>
      </c>
      <c r="I17" s="38">
        <f t="shared" si="2"/>
        <v>1.1917500064030218</v>
      </c>
      <c r="J17" s="13">
        <v>1.73</v>
      </c>
      <c r="K17" s="14">
        <v>122</v>
      </c>
      <c r="L17" s="13">
        <v>4874</v>
      </c>
      <c r="M17" s="14">
        <v>208</v>
      </c>
      <c r="N17" s="14">
        <f t="shared" si="3"/>
        <v>42681</v>
      </c>
      <c r="O17" s="14">
        <f t="shared" si="4"/>
        <v>10320</v>
      </c>
      <c r="P17" s="14">
        <f t="shared" si="5"/>
        <v>8026</v>
      </c>
      <c r="Q17" s="14">
        <f t="shared" si="6"/>
        <v>61027</v>
      </c>
      <c r="R17" s="14">
        <f t="shared" si="7"/>
        <v>111784</v>
      </c>
      <c r="S17" s="14">
        <f t="shared" si="8"/>
        <v>8853</v>
      </c>
      <c r="T17" s="14">
        <f t="shared" si="9"/>
        <v>120637</v>
      </c>
      <c r="U17" s="40">
        <f t="shared" si="10"/>
        <v>181664</v>
      </c>
      <c r="V17" s="14">
        <v>172737</v>
      </c>
      <c r="W17" s="14">
        <f t="shared" si="11"/>
        <v>8927</v>
      </c>
    </row>
    <row r="18" spans="1:23" x14ac:dyDescent="0.2">
      <c r="A18" s="20" t="s">
        <v>69</v>
      </c>
      <c r="B18" s="22" t="s">
        <v>213</v>
      </c>
      <c r="C18" s="14">
        <v>458373</v>
      </c>
      <c r="D18" s="14">
        <f>'Tulumaks 2021-2024'!O18</f>
        <v>662445120</v>
      </c>
      <c r="E18" s="14">
        <v>25871209.810001001</v>
      </c>
      <c r="F18" s="14">
        <v>0</v>
      </c>
      <c r="G18" s="14">
        <f t="shared" si="0"/>
        <v>688316329.81000102</v>
      </c>
      <c r="H18" s="14">
        <f t="shared" si="1"/>
        <v>1501.6511221428859</v>
      </c>
      <c r="I18" s="38">
        <f t="shared" si="2"/>
        <v>1.1084775725381253</v>
      </c>
      <c r="J18" s="13">
        <v>0</v>
      </c>
      <c r="K18" s="14">
        <v>3229</v>
      </c>
      <c r="L18" s="13">
        <v>63474</v>
      </c>
      <c r="M18" s="14">
        <v>2629</v>
      </c>
      <c r="N18" s="14">
        <f t="shared" si="3"/>
        <v>1214504</v>
      </c>
      <c r="O18" s="14">
        <f t="shared" si="4"/>
        <v>144488</v>
      </c>
      <c r="P18" s="14">
        <f t="shared" si="5"/>
        <v>109062</v>
      </c>
      <c r="Q18" s="14">
        <f t="shared" si="6"/>
        <v>1468054</v>
      </c>
      <c r="R18" s="14">
        <f t="shared" si="7"/>
        <v>0</v>
      </c>
      <c r="S18" s="14">
        <f t="shared" si="8"/>
        <v>0</v>
      </c>
      <c r="T18" s="14">
        <f t="shared" si="9"/>
        <v>0</v>
      </c>
      <c r="U18" s="40">
        <f t="shared" si="10"/>
        <v>1468054</v>
      </c>
      <c r="V18" s="14">
        <v>1517753</v>
      </c>
      <c r="W18" s="14">
        <f t="shared" si="11"/>
        <v>-49699</v>
      </c>
    </row>
    <row r="19" spans="1:23" x14ac:dyDescent="0.2">
      <c r="A19" s="20" t="s">
        <v>69</v>
      </c>
      <c r="B19" s="21" t="s">
        <v>128</v>
      </c>
      <c r="C19" s="14">
        <v>22481</v>
      </c>
      <c r="D19" s="14">
        <f>'Tulumaks 2021-2024'!O19</f>
        <v>39883247</v>
      </c>
      <c r="E19" s="14">
        <v>2549489.7699999497</v>
      </c>
      <c r="F19" s="14">
        <v>0</v>
      </c>
      <c r="G19" s="14">
        <f t="shared" si="0"/>
        <v>42432736.769999951</v>
      </c>
      <c r="H19" s="14">
        <f t="shared" si="1"/>
        <v>1887.4932952270785</v>
      </c>
      <c r="I19" s="38">
        <f t="shared" si="2"/>
        <v>1.3932956565101657</v>
      </c>
      <c r="J19" s="13">
        <v>1.43</v>
      </c>
      <c r="K19" s="14">
        <v>45</v>
      </c>
      <c r="L19" s="13">
        <v>4532</v>
      </c>
      <c r="M19" s="14">
        <v>162</v>
      </c>
      <c r="N19" s="14">
        <f t="shared" si="3"/>
        <v>13466</v>
      </c>
      <c r="O19" s="14">
        <f t="shared" si="4"/>
        <v>8207</v>
      </c>
      <c r="P19" s="14">
        <f t="shared" si="5"/>
        <v>5347</v>
      </c>
      <c r="Q19" s="14">
        <f t="shared" si="6"/>
        <v>27020</v>
      </c>
      <c r="R19" s="14">
        <f t="shared" si="7"/>
        <v>73488</v>
      </c>
      <c r="S19" s="14">
        <f t="shared" si="8"/>
        <v>4875</v>
      </c>
      <c r="T19" s="14">
        <f t="shared" si="9"/>
        <v>78363</v>
      </c>
      <c r="U19" s="40">
        <f t="shared" si="10"/>
        <v>105383</v>
      </c>
      <c r="V19" s="14">
        <v>110727</v>
      </c>
      <c r="W19" s="14">
        <f t="shared" si="11"/>
        <v>-5344</v>
      </c>
    </row>
    <row r="20" spans="1:23" x14ac:dyDescent="0.2">
      <c r="A20" s="20" t="s">
        <v>67</v>
      </c>
      <c r="B20" s="21" t="s">
        <v>217</v>
      </c>
      <c r="C20" s="14">
        <v>9758</v>
      </c>
      <c r="D20" s="14">
        <f>'Tulumaks 2021-2024'!O20</f>
        <v>12754249</v>
      </c>
      <c r="E20" s="14">
        <v>378881.60000000201</v>
      </c>
      <c r="F20" s="14">
        <v>0</v>
      </c>
      <c r="G20" s="14">
        <f t="shared" si="0"/>
        <v>13133130.600000001</v>
      </c>
      <c r="H20" s="14">
        <f t="shared" si="1"/>
        <v>1345.8834392293504</v>
      </c>
      <c r="I20" s="38">
        <f t="shared" si="2"/>
        <v>0.99349415162908761</v>
      </c>
      <c r="J20" s="13">
        <v>3.97</v>
      </c>
      <c r="K20" s="14">
        <v>75</v>
      </c>
      <c r="L20" s="13">
        <v>1025</v>
      </c>
      <c r="M20" s="14">
        <v>59</v>
      </c>
      <c r="N20" s="14">
        <f t="shared" si="3"/>
        <v>31474</v>
      </c>
      <c r="O20" s="14">
        <f t="shared" si="4"/>
        <v>2603</v>
      </c>
      <c r="P20" s="14">
        <f t="shared" si="5"/>
        <v>2731</v>
      </c>
      <c r="Q20" s="14">
        <f t="shared" si="6"/>
        <v>36808</v>
      </c>
      <c r="R20" s="14">
        <f t="shared" si="7"/>
        <v>64712</v>
      </c>
      <c r="S20" s="14">
        <f t="shared" si="8"/>
        <v>6913</v>
      </c>
      <c r="T20" s="14">
        <f t="shared" si="9"/>
        <v>71625</v>
      </c>
      <c r="U20" s="40">
        <f t="shared" si="10"/>
        <v>108433</v>
      </c>
      <c r="V20" s="14">
        <v>103579</v>
      </c>
      <c r="W20" s="14">
        <f t="shared" si="11"/>
        <v>4854</v>
      </c>
    </row>
    <row r="21" spans="1:23" x14ac:dyDescent="0.2">
      <c r="A21" s="20" t="s">
        <v>58</v>
      </c>
      <c r="B21" s="21" t="s">
        <v>218</v>
      </c>
      <c r="C21" s="14">
        <v>4678</v>
      </c>
      <c r="D21" s="14">
        <f>'Tulumaks 2021-2024'!O21</f>
        <v>4651376</v>
      </c>
      <c r="E21" s="14">
        <v>483385.580000002</v>
      </c>
      <c r="F21" s="14">
        <v>479288</v>
      </c>
      <c r="G21" s="14">
        <f t="shared" si="0"/>
        <v>5614049.5800000019</v>
      </c>
      <c r="H21" s="14">
        <f t="shared" si="1"/>
        <v>1200.0961051731513</v>
      </c>
      <c r="I21" s="38">
        <f t="shared" si="2"/>
        <v>0.88587794985060053</v>
      </c>
      <c r="J21" s="13">
        <v>4.9400000000000004</v>
      </c>
      <c r="K21" s="14">
        <v>19</v>
      </c>
      <c r="L21" s="13">
        <v>554</v>
      </c>
      <c r="M21" s="14">
        <v>35</v>
      </c>
      <c r="N21" s="14">
        <f t="shared" si="3"/>
        <v>8942</v>
      </c>
      <c r="O21" s="14">
        <f t="shared" si="4"/>
        <v>1578</v>
      </c>
      <c r="P21" s="14">
        <f t="shared" si="5"/>
        <v>1817</v>
      </c>
      <c r="Q21" s="14">
        <f t="shared" si="6"/>
        <v>12337</v>
      </c>
      <c r="R21" s="14">
        <f t="shared" si="7"/>
        <v>48809</v>
      </c>
      <c r="S21" s="14">
        <f t="shared" si="8"/>
        <v>5723</v>
      </c>
      <c r="T21" s="14">
        <f t="shared" si="9"/>
        <v>54532</v>
      </c>
      <c r="U21" s="40">
        <f t="shared" si="10"/>
        <v>66869</v>
      </c>
      <c r="V21" s="14">
        <v>71540</v>
      </c>
      <c r="W21" s="14">
        <f t="shared" si="11"/>
        <v>-4671</v>
      </c>
    </row>
    <row r="22" spans="1:23" x14ac:dyDescent="0.2">
      <c r="A22" s="20" t="s">
        <v>58</v>
      </c>
      <c r="B22" s="21" t="s">
        <v>127</v>
      </c>
      <c r="C22" s="14">
        <v>11459</v>
      </c>
      <c r="D22" s="14">
        <f>'Tulumaks 2021-2024'!O22</f>
        <v>11713870</v>
      </c>
      <c r="E22" s="14">
        <v>195837.73000000109</v>
      </c>
      <c r="F22" s="14">
        <v>1162998</v>
      </c>
      <c r="G22" s="14">
        <f t="shared" si="0"/>
        <v>13072705.73</v>
      </c>
      <c r="H22" s="14">
        <f t="shared" si="1"/>
        <v>1140.8243066585217</v>
      </c>
      <c r="I22" s="38">
        <f t="shared" si="2"/>
        <v>0.84212513778350184</v>
      </c>
      <c r="J22" s="13">
        <v>0.81</v>
      </c>
      <c r="K22" s="14">
        <v>171</v>
      </c>
      <c r="L22" s="13">
        <v>1559</v>
      </c>
      <c r="M22" s="14">
        <v>84</v>
      </c>
      <c r="N22" s="14">
        <f t="shared" si="3"/>
        <v>84660</v>
      </c>
      <c r="O22" s="14">
        <f t="shared" si="4"/>
        <v>4671</v>
      </c>
      <c r="P22" s="14">
        <f t="shared" si="5"/>
        <v>4587</v>
      </c>
      <c r="Q22" s="14">
        <f t="shared" si="6"/>
        <v>93918</v>
      </c>
      <c r="R22" s="14">
        <f t="shared" si="7"/>
        <v>23691</v>
      </c>
      <c r="S22" s="14">
        <f t="shared" si="8"/>
        <v>2369</v>
      </c>
      <c r="T22" s="14">
        <f t="shared" si="9"/>
        <v>26060</v>
      </c>
      <c r="U22" s="40">
        <f t="shared" si="10"/>
        <v>119978</v>
      </c>
      <c r="V22" s="14">
        <v>87093</v>
      </c>
      <c r="W22" s="14">
        <f t="shared" si="11"/>
        <v>32885</v>
      </c>
    </row>
    <row r="23" spans="1:23" x14ac:dyDescent="0.2">
      <c r="A23" s="20" t="s">
        <v>58</v>
      </c>
      <c r="B23" s="21" t="s">
        <v>57</v>
      </c>
      <c r="C23" s="14">
        <v>32296</v>
      </c>
      <c r="D23" s="14">
        <f>'Tulumaks 2021-2024'!O23</f>
        <v>26114332</v>
      </c>
      <c r="E23" s="14">
        <v>203666.97</v>
      </c>
      <c r="F23" s="14">
        <v>6418907</v>
      </c>
      <c r="G23" s="14">
        <f t="shared" si="0"/>
        <v>32736905.969999999</v>
      </c>
      <c r="H23" s="14">
        <f t="shared" si="1"/>
        <v>1013.6520302823878</v>
      </c>
      <c r="I23" s="38">
        <f t="shared" si="2"/>
        <v>0.74825005978908676</v>
      </c>
      <c r="J23" s="13">
        <v>0.35</v>
      </c>
      <c r="K23" s="14">
        <v>256</v>
      </c>
      <c r="L23" s="13">
        <v>4271</v>
      </c>
      <c r="M23" s="14">
        <v>345</v>
      </c>
      <c r="N23" s="14">
        <f t="shared" si="3"/>
        <v>142643</v>
      </c>
      <c r="O23" s="14">
        <f t="shared" si="4"/>
        <v>14403</v>
      </c>
      <c r="P23" s="14">
        <f t="shared" si="5"/>
        <v>21202</v>
      </c>
      <c r="Q23" s="14">
        <f t="shared" si="6"/>
        <v>178248</v>
      </c>
      <c r="R23" s="14">
        <f t="shared" si="7"/>
        <v>31564</v>
      </c>
      <c r="S23" s="14">
        <f t="shared" si="8"/>
        <v>4732</v>
      </c>
      <c r="T23" s="14">
        <f t="shared" si="9"/>
        <v>36296</v>
      </c>
      <c r="U23" s="40">
        <f t="shared" si="10"/>
        <v>214544</v>
      </c>
      <c r="V23" s="14">
        <v>191349</v>
      </c>
      <c r="W23" s="14">
        <f t="shared" si="11"/>
        <v>23195</v>
      </c>
    </row>
    <row r="24" spans="1:23" x14ac:dyDescent="0.2">
      <c r="A24" s="20" t="s">
        <v>58</v>
      </c>
      <c r="B24" s="21" t="s">
        <v>126</v>
      </c>
      <c r="C24" s="14">
        <v>8188</v>
      </c>
      <c r="D24" s="14">
        <f>'Tulumaks 2021-2024'!O24</f>
        <v>6831176</v>
      </c>
      <c r="E24" s="14">
        <v>275286.8899999999</v>
      </c>
      <c r="F24" s="14">
        <v>1467285</v>
      </c>
      <c r="G24" s="14">
        <f t="shared" si="0"/>
        <v>8573747.8900000006</v>
      </c>
      <c r="H24" s="14">
        <f t="shared" si="1"/>
        <v>1047.1113690766977</v>
      </c>
      <c r="I24" s="38">
        <f t="shared" si="2"/>
        <v>0.77294882376864593</v>
      </c>
      <c r="J24" s="13">
        <v>1.88</v>
      </c>
      <c r="K24" s="14">
        <v>98</v>
      </c>
      <c r="L24" s="13">
        <v>987</v>
      </c>
      <c r="M24" s="14">
        <v>74</v>
      </c>
      <c r="N24" s="14">
        <f t="shared" si="3"/>
        <v>52861</v>
      </c>
      <c r="O24" s="14">
        <f t="shared" si="4"/>
        <v>3222</v>
      </c>
      <c r="P24" s="14">
        <f t="shared" si="5"/>
        <v>4402</v>
      </c>
      <c r="Q24" s="14">
        <f t="shared" si="6"/>
        <v>60485</v>
      </c>
      <c r="R24" s="14">
        <f t="shared" si="7"/>
        <v>37928</v>
      </c>
      <c r="S24" s="14">
        <f t="shared" si="8"/>
        <v>5277</v>
      </c>
      <c r="T24" s="14">
        <f t="shared" si="9"/>
        <v>43205</v>
      </c>
      <c r="U24" s="40">
        <f t="shared" si="10"/>
        <v>103690</v>
      </c>
      <c r="V24" s="14">
        <v>100516</v>
      </c>
      <c r="W24" s="14">
        <f t="shared" si="11"/>
        <v>3174</v>
      </c>
    </row>
    <row r="25" spans="1:23" x14ac:dyDescent="0.2">
      <c r="A25" s="20" t="s">
        <v>58</v>
      </c>
      <c r="B25" s="21" t="s">
        <v>59</v>
      </c>
      <c r="C25" s="14">
        <v>53625</v>
      </c>
      <c r="D25" s="14">
        <f>'Tulumaks 2021-2024'!O25</f>
        <v>37340737</v>
      </c>
      <c r="E25" s="14">
        <v>287683.21000000124</v>
      </c>
      <c r="F25" s="14">
        <v>16132037</v>
      </c>
      <c r="G25" s="14">
        <f t="shared" si="0"/>
        <v>53760457.210000001</v>
      </c>
      <c r="H25" s="14">
        <f t="shared" si="1"/>
        <v>1002.5260085780886</v>
      </c>
      <c r="I25" s="38">
        <f t="shared" si="2"/>
        <v>0.74003713646160396</v>
      </c>
      <c r="J25" s="13">
        <v>0</v>
      </c>
      <c r="K25" s="14">
        <v>214</v>
      </c>
      <c r="L25" s="13">
        <v>6945</v>
      </c>
      <c r="M25" s="14">
        <v>424</v>
      </c>
      <c r="N25" s="14">
        <f t="shared" si="3"/>
        <v>120564</v>
      </c>
      <c r="O25" s="14">
        <f t="shared" si="4"/>
        <v>23680</v>
      </c>
      <c r="P25" s="14">
        <f t="shared" si="5"/>
        <v>26347</v>
      </c>
      <c r="Q25" s="14">
        <f t="shared" si="6"/>
        <v>170591</v>
      </c>
      <c r="R25" s="14">
        <f t="shared" si="7"/>
        <v>0</v>
      </c>
      <c r="S25" s="14">
        <f t="shared" si="8"/>
        <v>0</v>
      </c>
      <c r="T25" s="14">
        <f t="shared" si="9"/>
        <v>0</v>
      </c>
      <c r="U25" s="40">
        <f t="shared" si="10"/>
        <v>170591</v>
      </c>
      <c r="V25" s="14">
        <v>133549</v>
      </c>
      <c r="W25" s="14">
        <f t="shared" si="11"/>
        <v>37042</v>
      </c>
    </row>
    <row r="26" spans="1:23" x14ac:dyDescent="0.2">
      <c r="A26" s="20" t="s">
        <v>58</v>
      </c>
      <c r="B26" s="21" t="s">
        <v>62</v>
      </c>
      <c r="C26" s="14">
        <v>4773</v>
      </c>
      <c r="D26" s="14">
        <f>'Tulumaks 2021-2024'!O26</f>
        <v>3865070</v>
      </c>
      <c r="E26" s="14">
        <v>296605.30000000098</v>
      </c>
      <c r="F26" s="14">
        <v>1260500</v>
      </c>
      <c r="G26" s="14">
        <f t="shared" si="0"/>
        <v>5422175.3000000007</v>
      </c>
      <c r="H26" s="14">
        <f t="shared" si="1"/>
        <v>1136.00990990991</v>
      </c>
      <c r="I26" s="38">
        <f t="shared" si="2"/>
        <v>0.83857128246887924</v>
      </c>
      <c r="J26" s="13">
        <v>3.43</v>
      </c>
      <c r="K26" s="14">
        <v>36</v>
      </c>
      <c r="L26" s="13">
        <v>580</v>
      </c>
      <c r="M26" s="14">
        <v>28</v>
      </c>
      <c r="N26" s="14">
        <f t="shared" si="3"/>
        <v>17899</v>
      </c>
      <c r="O26" s="14">
        <f t="shared" si="4"/>
        <v>1745</v>
      </c>
      <c r="P26" s="14">
        <f t="shared" si="5"/>
        <v>1535</v>
      </c>
      <c r="Q26" s="14">
        <f t="shared" si="6"/>
        <v>21179</v>
      </c>
      <c r="R26" s="14">
        <f t="shared" si="7"/>
        <v>37481</v>
      </c>
      <c r="S26" s="14">
        <f t="shared" si="8"/>
        <v>3358</v>
      </c>
      <c r="T26" s="14">
        <f t="shared" si="9"/>
        <v>40839</v>
      </c>
      <c r="U26" s="40">
        <f t="shared" si="10"/>
        <v>62018</v>
      </c>
      <c r="V26" s="14">
        <v>63186</v>
      </c>
      <c r="W26" s="14">
        <f t="shared" si="11"/>
        <v>-1168</v>
      </c>
    </row>
    <row r="27" spans="1:23" x14ac:dyDescent="0.2">
      <c r="A27" s="20" t="s">
        <v>58</v>
      </c>
      <c r="B27" s="21" t="s">
        <v>61</v>
      </c>
      <c r="C27" s="14">
        <v>12157</v>
      </c>
      <c r="D27" s="14">
        <f>'Tulumaks 2021-2024'!O27</f>
        <v>9207512</v>
      </c>
      <c r="E27" s="14">
        <v>89340.040000000008</v>
      </c>
      <c r="F27" s="14">
        <v>2379250</v>
      </c>
      <c r="G27" s="14">
        <f t="shared" si="0"/>
        <v>11676102.039999999</v>
      </c>
      <c r="H27" s="14">
        <f t="shared" si="1"/>
        <v>960.44271119519613</v>
      </c>
      <c r="I27" s="38">
        <f t="shared" si="2"/>
        <v>0.70897240335580736</v>
      </c>
      <c r="J27" s="13">
        <v>0</v>
      </c>
      <c r="K27" s="14">
        <v>72</v>
      </c>
      <c r="L27" s="13">
        <v>1415</v>
      </c>
      <c r="M27" s="14">
        <v>95</v>
      </c>
      <c r="N27" s="14">
        <f t="shared" si="3"/>
        <v>42341</v>
      </c>
      <c r="O27" s="14">
        <f t="shared" si="4"/>
        <v>5036</v>
      </c>
      <c r="P27" s="14">
        <f t="shared" si="5"/>
        <v>6162</v>
      </c>
      <c r="Q27" s="14">
        <f t="shared" si="6"/>
        <v>53539</v>
      </c>
      <c r="R27" s="14">
        <f t="shared" si="7"/>
        <v>0</v>
      </c>
      <c r="S27" s="14">
        <f t="shared" si="8"/>
        <v>0</v>
      </c>
      <c r="T27" s="14">
        <f t="shared" si="9"/>
        <v>0</v>
      </c>
      <c r="U27" s="40">
        <f t="shared" si="10"/>
        <v>53539</v>
      </c>
      <c r="V27" s="14">
        <v>42277</v>
      </c>
      <c r="W27" s="14">
        <f t="shared" si="11"/>
        <v>11262</v>
      </c>
    </row>
    <row r="28" spans="1:23" x14ac:dyDescent="0.2">
      <c r="A28" s="20" t="s">
        <v>58</v>
      </c>
      <c r="B28" s="21" t="s">
        <v>64</v>
      </c>
      <c r="C28" s="14">
        <v>4599</v>
      </c>
      <c r="D28" s="14">
        <f>'Tulumaks 2021-2024'!O28</f>
        <v>5440498</v>
      </c>
      <c r="E28" s="14">
        <v>147227.2300000001</v>
      </c>
      <c r="F28" s="14">
        <v>250648</v>
      </c>
      <c r="G28" s="14">
        <f t="shared" si="0"/>
        <v>5838373.2300000004</v>
      </c>
      <c r="H28" s="14">
        <f t="shared" si="1"/>
        <v>1269.4875472928898</v>
      </c>
      <c r="I28" s="38">
        <f t="shared" si="2"/>
        <v>0.93710080460133838</v>
      </c>
      <c r="J28" s="13">
        <v>4.7</v>
      </c>
      <c r="K28" s="14">
        <v>31</v>
      </c>
      <c r="L28" s="13">
        <v>641</v>
      </c>
      <c r="M28" s="14">
        <v>28</v>
      </c>
      <c r="N28" s="14">
        <f t="shared" si="3"/>
        <v>13792</v>
      </c>
      <c r="O28" s="14">
        <f t="shared" si="4"/>
        <v>1726</v>
      </c>
      <c r="P28" s="14">
        <f t="shared" si="5"/>
        <v>1374</v>
      </c>
      <c r="Q28" s="14">
        <f t="shared" si="6"/>
        <v>16892</v>
      </c>
      <c r="R28" s="14">
        <f t="shared" si="7"/>
        <v>50793</v>
      </c>
      <c r="S28" s="14">
        <f t="shared" si="8"/>
        <v>4118</v>
      </c>
      <c r="T28" s="14">
        <f t="shared" si="9"/>
        <v>54911</v>
      </c>
      <c r="U28" s="40">
        <f t="shared" si="10"/>
        <v>71803</v>
      </c>
      <c r="V28" s="14">
        <v>70008</v>
      </c>
      <c r="W28" s="14">
        <f t="shared" si="11"/>
        <v>1795</v>
      </c>
    </row>
    <row r="29" spans="1:23" x14ac:dyDescent="0.2">
      <c r="A29" s="20" t="s">
        <v>55</v>
      </c>
      <c r="B29" s="21" t="s">
        <v>125</v>
      </c>
      <c r="C29" s="14">
        <v>13127</v>
      </c>
      <c r="D29" s="14">
        <f>'Tulumaks 2021-2024'!O29</f>
        <v>12803044</v>
      </c>
      <c r="E29" s="14">
        <v>500026.41999999993</v>
      </c>
      <c r="F29" s="14">
        <v>1764373</v>
      </c>
      <c r="G29" s="14">
        <f t="shared" si="0"/>
        <v>15067443.42</v>
      </c>
      <c r="H29" s="14">
        <f t="shared" si="1"/>
        <v>1147.8207831187628</v>
      </c>
      <c r="I29" s="38">
        <f t="shared" si="2"/>
        <v>0.84728974434797544</v>
      </c>
      <c r="J29" s="13">
        <v>3.13</v>
      </c>
      <c r="K29" s="14">
        <v>47</v>
      </c>
      <c r="L29" s="13">
        <v>1802</v>
      </c>
      <c r="M29" s="14">
        <v>123</v>
      </c>
      <c r="N29" s="14">
        <f t="shared" si="3"/>
        <v>23127</v>
      </c>
      <c r="O29" s="14">
        <f t="shared" si="4"/>
        <v>5366</v>
      </c>
      <c r="P29" s="14">
        <f t="shared" si="5"/>
        <v>6676</v>
      </c>
      <c r="Q29" s="14">
        <f t="shared" si="6"/>
        <v>35169</v>
      </c>
      <c r="R29" s="14">
        <f t="shared" si="7"/>
        <v>105172</v>
      </c>
      <c r="S29" s="14">
        <f t="shared" si="8"/>
        <v>13323</v>
      </c>
      <c r="T29" s="14">
        <f t="shared" si="9"/>
        <v>118495</v>
      </c>
      <c r="U29" s="40">
        <f t="shared" si="10"/>
        <v>153664</v>
      </c>
      <c r="V29" s="14">
        <v>147360</v>
      </c>
      <c r="W29" s="14">
        <f t="shared" si="11"/>
        <v>6304</v>
      </c>
    </row>
    <row r="30" spans="1:23" x14ac:dyDescent="0.2">
      <c r="A30" s="20" t="s">
        <v>55</v>
      </c>
      <c r="B30" s="21" t="s">
        <v>219</v>
      </c>
      <c r="C30" s="14">
        <v>5291</v>
      </c>
      <c r="D30" s="14">
        <f>'Tulumaks 2021-2024'!O30</f>
        <v>4249931</v>
      </c>
      <c r="E30" s="14">
        <v>312857.34000000102</v>
      </c>
      <c r="F30" s="14">
        <v>1125134</v>
      </c>
      <c r="G30" s="14">
        <f t="shared" si="0"/>
        <v>5687922.3400000008</v>
      </c>
      <c r="H30" s="14">
        <f t="shared" si="1"/>
        <v>1075.0183972783975</v>
      </c>
      <c r="I30" s="38">
        <f t="shared" si="2"/>
        <v>0.79354902472186695</v>
      </c>
      <c r="J30" s="13">
        <v>4.78</v>
      </c>
      <c r="K30" s="14">
        <v>31</v>
      </c>
      <c r="L30" s="13">
        <v>594</v>
      </c>
      <c r="M30" s="14">
        <v>38</v>
      </c>
      <c r="N30" s="14">
        <f t="shared" si="3"/>
        <v>16287</v>
      </c>
      <c r="O30" s="14">
        <f t="shared" si="4"/>
        <v>1889</v>
      </c>
      <c r="P30" s="14">
        <f t="shared" si="5"/>
        <v>2202</v>
      </c>
      <c r="Q30" s="14">
        <f t="shared" si="6"/>
        <v>20378</v>
      </c>
      <c r="R30" s="14">
        <f t="shared" si="7"/>
        <v>56529</v>
      </c>
      <c r="S30" s="14">
        <f t="shared" si="8"/>
        <v>6712</v>
      </c>
      <c r="T30" s="14">
        <f t="shared" si="9"/>
        <v>63241</v>
      </c>
      <c r="U30" s="40">
        <f t="shared" si="10"/>
        <v>83619</v>
      </c>
      <c r="V30" s="14">
        <v>81020</v>
      </c>
      <c r="W30" s="14">
        <f t="shared" si="11"/>
        <v>2599</v>
      </c>
    </row>
    <row r="31" spans="1:23" x14ac:dyDescent="0.2">
      <c r="A31" s="20" t="s">
        <v>55</v>
      </c>
      <c r="B31" s="21" t="s">
        <v>124</v>
      </c>
      <c r="C31" s="14">
        <v>9484</v>
      </c>
      <c r="D31" s="14">
        <f>'Tulumaks 2021-2024'!O31</f>
        <v>9349772</v>
      </c>
      <c r="E31" s="14">
        <v>424065.09999999899</v>
      </c>
      <c r="F31" s="14">
        <v>1348101.7700795736</v>
      </c>
      <c r="G31" s="14">
        <f t="shared" si="0"/>
        <v>11121938.870079573</v>
      </c>
      <c r="H31" s="14">
        <f t="shared" si="1"/>
        <v>1172.705490307842</v>
      </c>
      <c r="I31" s="38">
        <f t="shared" si="2"/>
        <v>0.86565895102423018</v>
      </c>
      <c r="J31" s="13">
        <v>3.37</v>
      </c>
      <c r="K31" s="14">
        <v>58</v>
      </c>
      <c r="L31" s="13">
        <v>1162</v>
      </c>
      <c r="M31" s="14">
        <v>96</v>
      </c>
      <c r="N31" s="14">
        <f t="shared" si="3"/>
        <v>27934</v>
      </c>
      <c r="O31" s="14">
        <f t="shared" si="4"/>
        <v>3387</v>
      </c>
      <c r="P31" s="14">
        <f t="shared" si="5"/>
        <v>5100</v>
      </c>
      <c r="Q31" s="14">
        <f t="shared" si="6"/>
        <v>36421</v>
      </c>
      <c r="R31" s="14">
        <f t="shared" si="7"/>
        <v>71470</v>
      </c>
      <c r="S31" s="14">
        <f t="shared" si="8"/>
        <v>10958</v>
      </c>
      <c r="T31" s="14">
        <f t="shared" si="9"/>
        <v>82428</v>
      </c>
      <c r="U31" s="40">
        <f t="shared" si="10"/>
        <v>118849</v>
      </c>
      <c r="V31" s="14">
        <v>110401</v>
      </c>
      <c r="W31" s="14">
        <f t="shared" si="11"/>
        <v>8448</v>
      </c>
    </row>
    <row r="32" spans="1:23" x14ac:dyDescent="0.2">
      <c r="A32" s="20" t="s">
        <v>52</v>
      </c>
      <c r="B32" s="21" t="s">
        <v>220</v>
      </c>
      <c r="C32" s="14">
        <v>8868</v>
      </c>
      <c r="D32" s="14">
        <f>'Tulumaks 2021-2024'!O32</f>
        <v>8894259</v>
      </c>
      <c r="E32" s="14">
        <v>622101.30999999994</v>
      </c>
      <c r="F32" s="14">
        <v>1729411</v>
      </c>
      <c r="G32" s="14">
        <f t="shared" si="0"/>
        <v>11245771.310000001</v>
      </c>
      <c r="H32" s="14">
        <f t="shared" si="1"/>
        <v>1268.1293764095626</v>
      </c>
      <c r="I32" s="38">
        <f t="shared" si="2"/>
        <v>0.93609824019630261</v>
      </c>
      <c r="J32" s="13">
        <v>4.68</v>
      </c>
      <c r="K32" s="14">
        <v>70</v>
      </c>
      <c r="L32" s="13">
        <v>1309</v>
      </c>
      <c r="M32" s="14">
        <v>106</v>
      </c>
      <c r="N32" s="14">
        <f t="shared" si="3"/>
        <v>31177</v>
      </c>
      <c r="O32" s="14">
        <f t="shared" si="4"/>
        <v>3528</v>
      </c>
      <c r="P32" s="14">
        <f t="shared" si="5"/>
        <v>5207</v>
      </c>
      <c r="Q32" s="14">
        <f t="shared" si="6"/>
        <v>39912</v>
      </c>
      <c r="R32" s="14">
        <f t="shared" si="7"/>
        <v>103395</v>
      </c>
      <c r="S32" s="14">
        <f t="shared" si="8"/>
        <v>15539</v>
      </c>
      <c r="T32" s="14">
        <f t="shared" si="9"/>
        <v>118934</v>
      </c>
      <c r="U32" s="40">
        <f t="shared" si="10"/>
        <v>158846</v>
      </c>
      <c r="V32" s="14">
        <v>153631</v>
      </c>
      <c r="W32" s="14">
        <f t="shared" si="11"/>
        <v>5215</v>
      </c>
    </row>
    <row r="33" spans="1:23" x14ac:dyDescent="0.2">
      <c r="A33" s="20" t="s">
        <v>52</v>
      </c>
      <c r="B33" s="21" t="s">
        <v>51</v>
      </c>
      <c r="C33" s="14">
        <v>10289</v>
      </c>
      <c r="D33" s="14">
        <f>'Tulumaks 2021-2024'!O33</f>
        <v>11373723</v>
      </c>
      <c r="E33" s="14">
        <v>266609.64000000106</v>
      </c>
      <c r="F33" s="14">
        <v>206760</v>
      </c>
      <c r="G33" s="14">
        <f t="shared" si="0"/>
        <v>11847092.640000001</v>
      </c>
      <c r="H33" s="14">
        <f t="shared" si="1"/>
        <v>1151.4328545048111</v>
      </c>
      <c r="I33" s="38">
        <f t="shared" si="2"/>
        <v>0.84995607613623236</v>
      </c>
      <c r="J33" s="13">
        <v>1.25</v>
      </c>
      <c r="K33" s="14">
        <v>95</v>
      </c>
      <c r="L33" s="13">
        <v>1496</v>
      </c>
      <c r="M33" s="14">
        <v>108</v>
      </c>
      <c r="N33" s="14">
        <f t="shared" si="3"/>
        <v>46600</v>
      </c>
      <c r="O33" s="14">
        <f t="shared" si="4"/>
        <v>4441</v>
      </c>
      <c r="P33" s="14">
        <f t="shared" si="5"/>
        <v>5843</v>
      </c>
      <c r="Q33" s="14">
        <f t="shared" si="6"/>
        <v>56884</v>
      </c>
      <c r="R33" s="14">
        <f t="shared" si="7"/>
        <v>34760</v>
      </c>
      <c r="S33" s="14">
        <f t="shared" si="8"/>
        <v>4657</v>
      </c>
      <c r="T33" s="14">
        <f t="shared" si="9"/>
        <v>39417</v>
      </c>
      <c r="U33" s="40">
        <f t="shared" si="10"/>
        <v>96301</v>
      </c>
      <c r="V33" s="14">
        <v>103054</v>
      </c>
      <c r="W33" s="14">
        <f t="shared" si="11"/>
        <v>-6753</v>
      </c>
    </row>
    <row r="34" spans="1:23" x14ac:dyDescent="0.2">
      <c r="A34" s="20" t="s">
        <v>52</v>
      </c>
      <c r="B34" s="21" t="s">
        <v>123</v>
      </c>
      <c r="C34" s="14">
        <v>10661</v>
      </c>
      <c r="D34" s="14">
        <f>'Tulumaks 2021-2024'!O34</f>
        <v>10830188</v>
      </c>
      <c r="E34" s="14">
        <v>533539.72000000102</v>
      </c>
      <c r="F34" s="14">
        <v>1066418</v>
      </c>
      <c r="G34" s="14">
        <f t="shared" si="0"/>
        <v>12430145.720000001</v>
      </c>
      <c r="H34" s="14">
        <f t="shared" si="1"/>
        <v>1165.9455698339743</v>
      </c>
      <c r="I34" s="38">
        <f t="shared" si="2"/>
        <v>0.8606689635851168</v>
      </c>
      <c r="J34" s="13">
        <v>2.68</v>
      </c>
      <c r="K34" s="14">
        <v>73</v>
      </c>
      <c r="L34" s="13">
        <v>1394</v>
      </c>
      <c r="M34" s="14">
        <v>98</v>
      </c>
      <c r="N34" s="14">
        <f t="shared" si="3"/>
        <v>35363</v>
      </c>
      <c r="O34" s="14">
        <f t="shared" si="4"/>
        <v>4087</v>
      </c>
      <c r="P34" s="14">
        <f t="shared" si="5"/>
        <v>5236</v>
      </c>
      <c r="Q34" s="14">
        <f t="shared" si="6"/>
        <v>44686</v>
      </c>
      <c r="R34" s="14">
        <f t="shared" si="7"/>
        <v>68580</v>
      </c>
      <c r="S34" s="14">
        <f t="shared" si="8"/>
        <v>8948</v>
      </c>
      <c r="T34" s="14">
        <f t="shared" si="9"/>
        <v>77528</v>
      </c>
      <c r="U34" s="40">
        <f t="shared" si="10"/>
        <v>122214</v>
      </c>
      <c r="V34" s="14">
        <v>127897</v>
      </c>
      <c r="W34" s="14">
        <f t="shared" si="11"/>
        <v>-5683</v>
      </c>
    </row>
    <row r="35" spans="1:23" x14ac:dyDescent="0.2">
      <c r="A35" s="20" t="s">
        <v>47</v>
      </c>
      <c r="B35" s="21" t="s">
        <v>48</v>
      </c>
      <c r="C35" s="14">
        <v>13106</v>
      </c>
      <c r="D35" s="14">
        <f>'Tulumaks 2021-2024'!O35</f>
        <v>13121767</v>
      </c>
      <c r="E35" s="14">
        <v>396189.28000000288</v>
      </c>
      <c r="F35" s="14">
        <v>1334848</v>
      </c>
      <c r="G35" s="14">
        <f t="shared" si="0"/>
        <v>14852804.280000003</v>
      </c>
      <c r="H35" s="14">
        <f t="shared" si="1"/>
        <v>1133.2827926140701</v>
      </c>
      <c r="I35" s="38">
        <f t="shared" si="2"/>
        <v>0.83655819945942134</v>
      </c>
      <c r="J35" s="13">
        <v>1.51</v>
      </c>
      <c r="K35" s="14">
        <v>153</v>
      </c>
      <c r="L35" s="13">
        <v>1876</v>
      </c>
      <c r="M35" s="14">
        <v>104</v>
      </c>
      <c r="N35" s="14">
        <f t="shared" si="3"/>
        <v>76252</v>
      </c>
      <c r="O35" s="14">
        <f t="shared" si="4"/>
        <v>5658</v>
      </c>
      <c r="P35" s="14">
        <f t="shared" si="5"/>
        <v>5717</v>
      </c>
      <c r="Q35" s="14">
        <f t="shared" si="6"/>
        <v>87627</v>
      </c>
      <c r="R35" s="14">
        <f t="shared" si="7"/>
        <v>53499</v>
      </c>
      <c r="S35" s="14">
        <f t="shared" si="8"/>
        <v>5504</v>
      </c>
      <c r="T35" s="14">
        <f t="shared" si="9"/>
        <v>59003</v>
      </c>
      <c r="U35" s="40">
        <f t="shared" si="10"/>
        <v>146630</v>
      </c>
      <c r="V35" s="14">
        <v>187088</v>
      </c>
      <c r="W35" s="14">
        <f t="shared" si="11"/>
        <v>-40458</v>
      </c>
    </row>
    <row r="36" spans="1:23" x14ac:dyDescent="0.2">
      <c r="A36" s="20" t="s">
        <v>47</v>
      </c>
      <c r="B36" s="21" t="s">
        <v>122</v>
      </c>
      <c r="C36" s="14">
        <v>7269</v>
      </c>
      <c r="D36" s="14">
        <f>'Tulumaks 2021-2024'!O36</f>
        <v>7399427</v>
      </c>
      <c r="E36" s="14">
        <v>538449.70000000205</v>
      </c>
      <c r="F36" s="14">
        <v>1243110.2463729638</v>
      </c>
      <c r="G36" s="14">
        <f t="shared" si="0"/>
        <v>9180986.9463729654</v>
      </c>
      <c r="H36" s="14">
        <f t="shared" si="1"/>
        <v>1263.0330095436739</v>
      </c>
      <c r="I36" s="38">
        <f t="shared" si="2"/>
        <v>0.93233624229348577</v>
      </c>
      <c r="J36" s="13">
        <v>4.72</v>
      </c>
      <c r="K36" s="14">
        <v>37</v>
      </c>
      <c r="L36" s="13">
        <v>998</v>
      </c>
      <c r="M36" s="14">
        <v>52</v>
      </c>
      <c r="N36" s="14">
        <f t="shared" si="3"/>
        <v>16546</v>
      </c>
      <c r="O36" s="14">
        <f t="shared" si="4"/>
        <v>2701</v>
      </c>
      <c r="P36" s="14">
        <f t="shared" si="5"/>
        <v>2565</v>
      </c>
      <c r="Q36" s="14">
        <f t="shared" si="6"/>
        <v>21812</v>
      </c>
      <c r="R36" s="14">
        <f t="shared" si="7"/>
        <v>79824</v>
      </c>
      <c r="S36" s="14">
        <f t="shared" si="8"/>
        <v>7719</v>
      </c>
      <c r="T36" s="14">
        <f t="shared" si="9"/>
        <v>87543</v>
      </c>
      <c r="U36" s="40">
        <f t="shared" si="10"/>
        <v>109355</v>
      </c>
      <c r="V36" s="14">
        <v>120514</v>
      </c>
      <c r="W36" s="14">
        <f t="shared" si="11"/>
        <v>-11159</v>
      </c>
    </row>
    <row r="37" spans="1:23" x14ac:dyDescent="0.2">
      <c r="A37" s="20" t="s">
        <v>47</v>
      </c>
      <c r="B37" s="21" t="s">
        <v>121</v>
      </c>
      <c r="C37" s="14">
        <v>452</v>
      </c>
      <c r="D37" s="14">
        <f>'Tulumaks 2021-2024'!O37</f>
        <v>649163</v>
      </c>
      <c r="E37" s="14">
        <v>58063.63</v>
      </c>
      <c r="F37" s="14">
        <v>0</v>
      </c>
      <c r="G37" s="14">
        <f t="shared" si="0"/>
        <v>707226.63</v>
      </c>
      <c r="H37" s="14">
        <f t="shared" si="1"/>
        <v>1564.6606858407081</v>
      </c>
      <c r="I37" s="38">
        <f t="shared" si="2"/>
        <v>1.1549895000987551</v>
      </c>
      <c r="J37" s="13">
        <v>5</v>
      </c>
      <c r="K37" s="14">
        <v>0</v>
      </c>
      <c r="L37" s="13">
        <v>32</v>
      </c>
      <c r="M37" s="14">
        <v>1</v>
      </c>
      <c r="N37" s="14">
        <f t="shared" si="3"/>
        <v>0</v>
      </c>
      <c r="O37" s="14">
        <f t="shared" si="4"/>
        <v>70</v>
      </c>
      <c r="P37" s="14">
        <f t="shared" si="5"/>
        <v>40</v>
      </c>
      <c r="Q37" s="14">
        <f t="shared" si="6"/>
        <v>110</v>
      </c>
      <c r="R37" s="14">
        <f t="shared" si="7"/>
        <v>2189</v>
      </c>
      <c r="S37" s="14">
        <f t="shared" si="8"/>
        <v>127</v>
      </c>
      <c r="T37" s="14">
        <f t="shared" si="9"/>
        <v>2316</v>
      </c>
      <c r="U37" s="40">
        <f t="shared" si="10"/>
        <v>2426</v>
      </c>
      <c r="V37" s="14">
        <v>2336</v>
      </c>
      <c r="W37" s="14">
        <f t="shared" si="11"/>
        <v>90</v>
      </c>
    </row>
    <row r="38" spans="1:23" x14ac:dyDescent="0.2">
      <c r="A38" s="20" t="s">
        <v>38</v>
      </c>
      <c r="B38" s="21" t="s">
        <v>120</v>
      </c>
      <c r="C38" s="14">
        <v>4377</v>
      </c>
      <c r="D38" s="14">
        <f>'Tulumaks 2021-2024'!O38</f>
        <v>5201212</v>
      </c>
      <c r="E38" s="14">
        <v>334924.41000000201</v>
      </c>
      <c r="F38" s="14">
        <v>113652.05687707102</v>
      </c>
      <c r="G38" s="14">
        <f t="shared" si="0"/>
        <v>5649788.466877073</v>
      </c>
      <c r="H38" s="14">
        <f t="shared" si="1"/>
        <v>1290.7901455053857</v>
      </c>
      <c r="I38" s="38">
        <f t="shared" si="2"/>
        <v>0.95282579691622815</v>
      </c>
      <c r="J38" s="13">
        <v>4.68</v>
      </c>
      <c r="K38" s="14">
        <v>15</v>
      </c>
      <c r="L38" s="13">
        <v>498</v>
      </c>
      <c r="M38" s="14">
        <v>18</v>
      </c>
      <c r="N38" s="14">
        <f t="shared" si="3"/>
        <v>6564</v>
      </c>
      <c r="O38" s="14">
        <f t="shared" si="4"/>
        <v>1319</v>
      </c>
      <c r="P38" s="14">
        <f t="shared" si="5"/>
        <v>869</v>
      </c>
      <c r="Q38" s="14">
        <f t="shared" si="6"/>
        <v>8752</v>
      </c>
      <c r="R38" s="14">
        <f t="shared" si="7"/>
        <v>38645</v>
      </c>
      <c r="S38" s="14">
        <f t="shared" si="8"/>
        <v>2592</v>
      </c>
      <c r="T38" s="14">
        <f t="shared" si="9"/>
        <v>41237</v>
      </c>
      <c r="U38" s="40">
        <f t="shared" si="10"/>
        <v>49989</v>
      </c>
      <c r="V38" s="14">
        <v>49683</v>
      </c>
      <c r="W38" s="14">
        <f t="shared" si="11"/>
        <v>306</v>
      </c>
    </row>
    <row r="39" spans="1:23" x14ac:dyDescent="0.2">
      <c r="A39" s="20" t="s">
        <v>38</v>
      </c>
      <c r="B39" s="21" t="s">
        <v>119</v>
      </c>
      <c r="C39" s="14">
        <v>4843</v>
      </c>
      <c r="D39" s="14">
        <f>'Tulumaks 2021-2024'!O39</f>
        <v>5453884</v>
      </c>
      <c r="E39" s="14">
        <v>164977.22999999981</v>
      </c>
      <c r="F39" s="14">
        <v>505837</v>
      </c>
      <c r="G39" s="14">
        <f t="shared" si="0"/>
        <v>6124698.2299999995</v>
      </c>
      <c r="H39" s="14">
        <f t="shared" si="1"/>
        <v>1264.6496448482344</v>
      </c>
      <c r="I39" s="38">
        <f t="shared" si="2"/>
        <v>0.93352959802815305</v>
      </c>
      <c r="J39" s="13">
        <v>3.56</v>
      </c>
      <c r="K39" s="14">
        <v>19</v>
      </c>
      <c r="L39" s="13">
        <v>738</v>
      </c>
      <c r="M39" s="14">
        <v>41</v>
      </c>
      <c r="N39" s="14">
        <f t="shared" si="3"/>
        <v>8486</v>
      </c>
      <c r="O39" s="14">
        <f t="shared" si="4"/>
        <v>1995</v>
      </c>
      <c r="P39" s="14">
        <f t="shared" si="5"/>
        <v>2020</v>
      </c>
      <c r="Q39" s="14">
        <f t="shared" si="6"/>
        <v>12501</v>
      </c>
      <c r="R39" s="14">
        <f t="shared" si="7"/>
        <v>44464</v>
      </c>
      <c r="S39" s="14">
        <f t="shared" si="8"/>
        <v>4584</v>
      </c>
      <c r="T39" s="14">
        <f t="shared" si="9"/>
        <v>49048</v>
      </c>
      <c r="U39" s="40">
        <f t="shared" si="10"/>
        <v>61549</v>
      </c>
      <c r="V39" s="14">
        <v>65490</v>
      </c>
      <c r="W39" s="14">
        <f t="shared" si="11"/>
        <v>-3941</v>
      </c>
    </row>
    <row r="40" spans="1:23" x14ac:dyDescent="0.2">
      <c r="A40" s="20" t="s">
        <v>38</v>
      </c>
      <c r="B40" s="21" t="s">
        <v>118</v>
      </c>
      <c r="C40" s="14">
        <v>5649</v>
      </c>
      <c r="D40" s="14">
        <f>'Tulumaks 2021-2024'!O40</f>
        <v>6080208</v>
      </c>
      <c r="E40" s="14">
        <v>161415.48000000021</v>
      </c>
      <c r="F40" s="14">
        <v>724201.30228327215</v>
      </c>
      <c r="G40" s="14">
        <f t="shared" si="0"/>
        <v>6965824.7822832726</v>
      </c>
      <c r="H40" s="14">
        <f t="shared" si="1"/>
        <v>1233.1075911282126</v>
      </c>
      <c r="I40" s="38">
        <f t="shared" si="2"/>
        <v>0.91024612117732295</v>
      </c>
      <c r="J40" s="13">
        <v>4.63</v>
      </c>
      <c r="K40" s="14">
        <v>17</v>
      </c>
      <c r="L40" s="13">
        <v>890</v>
      </c>
      <c r="M40" s="14">
        <v>50</v>
      </c>
      <c r="N40" s="14">
        <f t="shared" si="3"/>
        <v>7787</v>
      </c>
      <c r="O40" s="14">
        <f t="shared" si="4"/>
        <v>2467</v>
      </c>
      <c r="P40" s="14">
        <f t="shared" si="5"/>
        <v>2526</v>
      </c>
      <c r="Q40" s="14">
        <f t="shared" si="6"/>
        <v>12780</v>
      </c>
      <c r="R40" s="14">
        <f t="shared" si="7"/>
        <v>71523</v>
      </c>
      <c r="S40" s="14">
        <f t="shared" si="8"/>
        <v>7457</v>
      </c>
      <c r="T40" s="14">
        <f t="shared" si="9"/>
        <v>78980</v>
      </c>
      <c r="U40" s="40">
        <f t="shared" si="10"/>
        <v>91760</v>
      </c>
      <c r="V40" s="14">
        <v>91340</v>
      </c>
      <c r="W40" s="14">
        <f t="shared" si="11"/>
        <v>420</v>
      </c>
    </row>
    <row r="41" spans="1:23" x14ac:dyDescent="0.2">
      <c r="A41" s="20" t="s">
        <v>38</v>
      </c>
      <c r="B41" s="21" t="s">
        <v>37</v>
      </c>
      <c r="C41" s="14">
        <v>15134</v>
      </c>
      <c r="D41" s="14">
        <f>'Tulumaks 2021-2024'!O41</f>
        <v>16131515</v>
      </c>
      <c r="E41" s="14">
        <v>177150.49</v>
      </c>
      <c r="F41" s="14">
        <v>1429380</v>
      </c>
      <c r="G41" s="14">
        <f t="shared" si="0"/>
        <v>17738045.490000002</v>
      </c>
      <c r="H41" s="14">
        <f t="shared" si="1"/>
        <v>1172.0659105325758</v>
      </c>
      <c r="I41" s="38">
        <f t="shared" si="2"/>
        <v>0.86518683081849301</v>
      </c>
      <c r="J41" s="13">
        <v>0</v>
      </c>
      <c r="K41" s="14">
        <v>146</v>
      </c>
      <c r="L41" s="13">
        <v>2381</v>
      </c>
      <c r="M41" s="14">
        <v>143</v>
      </c>
      <c r="N41" s="14">
        <f t="shared" si="3"/>
        <v>70356</v>
      </c>
      <c r="O41" s="14">
        <f t="shared" si="4"/>
        <v>6944</v>
      </c>
      <c r="P41" s="14">
        <f t="shared" si="5"/>
        <v>7600</v>
      </c>
      <c r="Q41" s="14">
        <f t="shared" si="6"/>
        <v>84900</v>
      </c>
      <c r="R41" s="14">
        <f t="shared" si="7"/>
        <v>0</v>
      </c>
      <c r="S41" s="14">
        <f t="shared" si="8"/>
        <v>0</v>
      </c>
      <c r="T41" s="14">
        <f t="shared" si="9"/>
        <v>0</v>
      </c>
      <c r="U41" s="40">
        <f t="shared" si="10"/>
        <v>84900</v>
      </c>
      <c r="V41" s="14">
        <v>86603</v>
      </c>
      <c r="W41" s="14">
        <f t="shared" si="11"/>
        <v>-1703</v>
      </c>
    </row>
    <row r="42" spans="1:23" x14ac:dyDescent="0.2">
      <c r="A42" s="20" t="s">
        <v>38</v>
      </c>
      <c r="B42" s="21" t="s">
        <v>117</v>
      </c>
      <c r="C42" s="14">
        <v>10626</v>
      </c>
      <c r="D42" s="14">
        <f>'Tulumaks 2021-2024'!O42</f>
        <v>9846684</v>
      </c>
      <c r="E42" s="14">
        <v>291973.28000000096</v>
      </c>
      <c r="F42" s="14">
        <v>2110280</v>
      </c>
      <c r="G42" s="14">
        <f t="shared" si="0"/>
        <v>12248937.280000001</v>
      </c>
      <c r="H42" s="14">
        <f t="shared" si="1"/>
        <v>1152.7326632787504</v>
      </c>
      <c r="I42" s="38">
        <f t="shared" si="2"/>
        <v>0.8509155592367037</v>
      </c>
      <c r="J42" s="13">
        <v>1.91</v>
      </c>
      <c r="K42" s="14">
        <v>156</v>
      </c>
      <c r="L42" s="13">
        <v>1493</v>
      </c>
      <c r="M42" s="14">
        <v>124</v>
      </c>
      <c r="N42" s="14">
        <f t="shared" si="3"/>
        <v>76436</v>
      </c>
      <c r="O42" s="14">
        <f t="shared" si="4"/>
        <v>4427</v>
      </c>
      <c r="P42" s="14">
        <f t="shared" si="5"/>
        <v>6701</v>
      </c>
      <c r="Q42" s="14">
        <f t="shared" si="6"/>
        <v>87564</v>
      </c>
      <c r="R42" s="14">
        <f t="shared" si="7"/>
        <v>52947</v>
      </c>
      <c r="S42" s="14">
        <f t="shared" si="8"/>
        <v>8161</v>
      </c>
      <c r="T42" s="14">
        <f t="shared" si="9"/>
        <v>61108</v>
      </c>
      <c r="U42" s="40">
        <f t="shared" si="10"/>
        <v>148672</v>
      </c>
      <c r="V42" s="14">
        <v>147831</v>
      </c>
      <c r="W42" s="14">
        <f t="shared" si="11"/>
        <v>841</v>
      </c>
    </row>
    <row r="43" spans="1:23" x14ac:dyDescent="0.2">
      <c r="A43" s="20" t="s">
        <v>38</v>
      </c>
      <c r="B43" s="21" t="s">
        <v>116</v>
      </c>
      <c r="C43" s="14">
        <v>6764</v>
      </c>
      <c r="D43" s="14">
        <f>'Tulumaks 2021-2024'!O43</f>
        <v>6577360</v>
      </c>
      <c r="E43" s="14">
        <v>500152.42</v>
      </c>
      <c r="F43" s="14">
        <v>1464355</v>
      </c>
      <c r="G43" s="14">
        <f t="shared" si="0"/>
        <v>8541867.4199999999</v>
      </c>
      <c r="H43" s="14">
        <f t="shared" si="1"/>
        <v>1262.8426108811354</v>
      </c>
      <c r="I43" s="38">
        <f t="shared" si="2"/>
        <v>0.93219569523554868</v>
      </c>
      <c r="J43" s="13">
        <v>4.74</v>
      </c>
      <c r="K43" s="14">
        <v>38</v>
      </c>
      <c r="L43" s="13">
        <v>976</v>
      </c>
      <c r="M43" s="14">
        <v>74</v>
      </c>
      <c r="N43" s="14">
        <f t="shared" si="3"/>
        <v>16996</v>
      </c>
      <c r="O43" s="14">
        <f t="shared" si="4"/>
        <v>2642</v>
      </c>
      <c r="P43" s="14">
        <f t="shared" si="5"/>
        <v>3650</v>
      </c>
      <c r="Q43" s="14">
        <f t="shared" si="6"/>
        <v>23288</v>
      </c>
      <c r="R43" s="14">
        <f t="shared" si="7"/>
        <v>78407</v>
      </c>
      <c r="S43" s="14">
        <f t="shared" si="8"/>
        <v>11033</v>
      </c>
      <c r="T43" s="14">
        <f t="shared" si="9"/>
        <v>89440</v>
      </c>
      <c r="U43" s="40">
        <f t="shared" si="10"/>
        <v>112728</v>
      </c>
      <c r="V43" s="14">
        <v>115966</v>
      </c>
      <c r="W43" s="14">
        <f t="shared" si="11"/>
        <v>-3238</v>
      </c>
    </row>
    <row r="44" spans="1:23" x14ac:dyDescent="0.2">
      <c r="A44" s="20" t="s">
        <v>38</v>
      </c>
      <c r="B44" s="21" t="s">
        <v>115</v>
      </c>
      <c r="C44" s="14">
        <v>5720</v>
      </c>
      <c r="D44" s="14">
        <f>'Tulumaks 2021-2024'!O44</f>
        <v>5130536</v>
      </c>
      <c r="E44" s="14">
        <v>210390.19000000006</v>
      </c>
      <c r="F44" s="14">
        <v>962951</v>
      </c>
      <c r="G44" s="14">
        <f t="shared" si="0"/>
        <v>6303877.1900000004</v>
      </c>
      <c r="H44" s="14">
        <f t="shared" si="1"/>
        <v>1102.0764318181818</v>
      </c>
      <c r="I44" s="38">
        <f t="shared" si="2"/>
        <v>0.81352252189577234</v>
      </c>
      <c r="J44" s="13">
        <v>3.12</v>
      </c>
      <c r="K44" s="14">
        <v>62</v>
      </c>
      <c r="L44" s="13">
        <v>729</v>
      </c>
      <c r="M44" s="14">
        <v>58</v>
      </c>
      <c r="N44" s="14">
        <f t="shared" si="3"/>
        <v>31775</v>
      </c>
      <c r="O44" s="14">
        <f t="shared" si="4"/>
        <v>2261</v>
      </c>
      <c r="P44" s="14">
        <f t="shared" si="5"/>
        <v>3278</v>
      </c>
      <c r="Q44" s="14">
        <f t="shared" si="6"/>
        <v>37314</v>
      </c>
      <c r="R44" s="14">
        <f t="shared" si="7"/>
        <v>44172</v>
      </c>
      <c r="S44" s="14">
        <f t="shared" si="8"/>
        <v>6522</v>
      </c>
      <c r="T44" s="14">
        <f t="shared" si="9"/>
        <v>50694</v>
      </c>
      <c r="U44" s="40">
        <f t="shared" si="10"/>
        <v>88008</v>
      </c>
      <c r="V44" s="14">
        <v>87055</v>
      </c>
      <c r="W44" s="14">
        <f t="shared" si="11"/>
        <v>953</v>
      </c>
    </row>
    <row r="45" spans="1:23" x14ac:dyDescent="0.2">
      <c r="A45" s="20" t="s">
        <v>38</v>
      </c>
      <c r="B45" s="21" t="s">
        <v>114</v>
      </c>
      <c r="C45" s="14">
        <v>5679</v>
      </c>
      <c r="D45" s="14">
        <f>'Tulumaks 2021-2024'!O45</f>
        <v>5305274</v>
      </c>
      <c r="E45" s="14">
        <v>387117.19999999995</v>
      </c>
      <c r="F45" s="14">
        <v>1293226</v>
      </c>
      <c r="G45" s="14">
        <f t="shared" si="0"/>
        <v>6985617.2000000002</v>
      </c>
      <c r="H45" s="14">
        <f t="shared" si="1"/>
        <v>1230.0787462581441</v>
      </c>
      <c r="I45" s="38">
        <f t="shared" si="2"/>
        <v>0.90801031116815312</v>
      </c>
      <c r="J45" s="13">
        <v>4.53</v>
      </c>
      <c r="K45" s="14">
        <v>47</v>
      </c>
      <c r="L45" s="13">
        <v>789</v>
      </c>
      <c r="M45" s="14">
        <v>62</v>
      </c>
      <c r="N45" s="14">
        <f t="shared" si="3"/>
        <v>21581</v>
      </c>
      <c r="O45" s="14">
        <f t="shared" si="4"/>
        <v>2193</v>
      </c>
      <c r="P45" s="14">
        <f t="shared" si="5"/>
        <v>3140</v>
      </c>
      <c r="Q45" s="14">
        <f t="shared" si="6"/>
        <v>26914</v>
      </c>
      <c r="R45" s="14">
        <f t="shared" si="7"/>
        <v>62190</v>
      </c>
      <c r="S45" s="14">
        <f t="shared" si="8"/>
        <v>9070</v>
      </c>
      <c r="T45" s="14">
        <f t="shared" si="9"/>
        <v>71260</v>
      </c>
      <c r="U45" s="40">
        <f t="shared" si="10"/>
        <v>98174</v>
      </c>
      <c r="V45" s="14">
        <v>101339</v>
      </c>
      <c r="W45" s="14">
        <f t="shared" si="11"/>
        <v>-3165</v>
      </c>
    </row>
    <row r="46" spans="1:23" x14ac:dyDescent="0.2">
      <c r="A46" s="20" t="s">
        <v>35</v>
      </c>
      <c r="B46" s="21" t="s">
        <v>113</v>
      </c>
      <c r="C46" s="14">
        <v>4811</v>
      </c>
      <c r="D46" s="14">
        <f>'Tulumaks 2021-2024'!O46</f>
        <v>5140318</v>
      </c>
      <c r="E46" s="14">
        <v>266462.42000000109</v>
      </c>
      <c r="F46" s="14">
        <v>629567</v>
      </c>
      <c r="G46" s="14">
        <f t="shared" si="0"/>
        <v>6036347.4200000009</v>
      </c>
      <c r="H46" s="14">
        <f t="shared" si="1"/>
        <v>1254.6970318021204</v>
      </c>
      <c r="I46" s="38">
        <f t="shared" si="2"/>
        <v>0.92618285271088885</v>
      </c>
      <c r="J46" s="13">
        <v>4.9400000000000004</v>
      </c>
      <c r="K46" s="14">
        <v>26</v>
      </c>
      <c r="L46" s="13">
        <v>616</v>
      </c>
      <c r="M46" s="14">
        <v>43</v>
      </c>
      <c r="N46" s="14">
        <f t="shared" si="3"/>
        <v>11704</v>
      </c>
      <c r="O46" s="14">
        <f t="shared" si="4"/>
        <v>1678</v>
      </c>
      <c r="P46" s="14">
        <f t="shared" si="5"/>
        <v>2135</v>
      </c>
      <c r="Q46" s="14">
        <f t="shared" si="6"/>
        <v>15517</v>
      </c>
      <c r="R46" s="14">
        <f t="shared" si="7"/>
        <v>51909</v>
      </c>
      <c r="S46" s="14">
        <f t="shared" si="8"/>
        <v>6725</v>
      </c>
      <c r="T46" s="14">
        <f t="shared" si="9"/>
        <v>58634</v>
      </c>
      <c r="U46" s="40">
        <f t="shared" si="10"/>
        <v>74151</v>
      </c>
      <c r="V46" s="14">
        <v>71911</v>
      </c>
      <c r="W46" s="14">
        <f t="shared" si="11"/>
        <v>2240</v>
      </c>
    </row>
    <row r="47" spans="1:23" x14ac:dyDescent="0.2">
      <c r="A47" s="20" t="s">
        <v>35</v>
      </c>
      <c r="B47" s="21" t="s">
        <v>112</v>
      </c>
      <c r="C47" s="14">
        <v>13435</v>
      </c>
      <c r="D47" s="14">
        <f>'Tulumaks 2021-2024'!O47</f>
        <v>12844391</v>
      </c>
      <c r="E47" s="14">
        <v>400818.07999999996</v>
      </c>
      <c r="F47" s="14">
        <v>1997279</v>
      </c>
      <c r="G47" s="14">
        <f t="shared" si="0"/>
        <v>15242488.08</v>
      </c>
      <c r="H47" s="14">
        <f t="shared" si="1"/>
        <v>1134.5357707480462</v>
      </c>
      <c r="I47" s="38">
        <f t="shared" si="2"/>
        <v>0.83748311346901572</v>
      </c>
      <c r="J47" s="13">
        <v>3.15</v>
      </c>
      <c r="K47" s="14">
        <v>132</v>
      </c>
      <c r="L47" s="13">
        <v>1848</v>
      </c>
      <c r="M47" s="14">
        <v>154</v>
      </c>
      <c r="N47" s="14">
        <f t="shared" si="3"/>
        <v>65714</v>
      </c>
      <c r="O47" s="14">
        <f t="shared" si="4"/>
        <v>5568</v>
      </c>
      <c r="P47" s="14">
        <f t="shared" si="5"/>
        <v>8456</v>
      </c>
      <c r="Q47" s="14">
        <f t="shared" si="6"/>
        <v>79738</v>
      </c>
      <c r="R47" s="14">
        <f t="shared" si="7"/>
        <v>109817</v>
      </c>
      <c r="S47" s="14">
        <f t="shared" si="8"/>
        <v>16984</v>
      </c>
      <c r="T47" s="14">
        <f t="shared" si="9"/>
        <v>126801</v>
      </c>
      <c r="U47" s="40">
        <f t="shared" si="10"/>
        <v>206539</v>
      </c>
      <c r="V47" s="14">
        <v>195680</v>
      </c>
      <c r="W47" s="14">
        <f t="shared" si="11"/>
        <v>10859</v>
      </c>
    </row>
    <row r="48" spans="1:23" x14ac:dyDescent="0.2">
      <c r="A48" s="20" t="s">
        <v>35</v>
      </c>
      <c r="B48" s="21" t="s">
        <v>111</v>
      </c>
      <c r="C48" s="14">
        <v>6123</v>
      </c>
      <c r="D48" s="14">
        <f>'Tulumaks 2021-2024'!O48</f>
        <v>5545732</v>
      </c>
      <c r="E48" s="14">
        <v>180929.91999999981</v>
      </c>
      <c r="F48" s="14">
        <v>959173.91808375157</v>
      </c>
      <c r="G48" s="14">
        <f t="shared" si="0"/>
        <v>6685835.8380837515</v>
      </c>
      <c r="H48" s="14">
        <f t="shared" si="1"/>
        <v>1091.9215806114244</v>
      </c>
      <c r="I48" s="38">
        <f t="shared" si="2"/>
        <v>0.80602648992858061</v>
      </c>
      <c r="J48" s="13">
        <v>4.42</v>
      </c>
      <c r="K48" s="14">
        <v>15</v>
      </c>
      <c r="L48" s="13">
        <v>709</v>
      </c>
      <c r="M48" s="14">
        <v>62</v>
      </c>
      <c r="N48" s="14">
        <f t="shared" si="3"/>
        <v>7759</v>
      </c>
      <c r="O48" s="14">
        <f t="shared" si="4"/>
        <v>2220</v>
      </c>
      <c r="P48" s="14">
        <f t="shared" si="5"/>
        <v>3537</v>
      </c>
      <c r="Q48" s="14">
        <f t="shared" si="6"/>
        <v>13516</v>
      </c>
      <c r="R48" s="14">
        <f t="shared" si="7"/>
        <v>61426</v>
      </c>
      <c r="S48" s="14">
        <f t="shared" si="8"/>
        <v>9969</v>
      </c>
      <c r="T48" s="14">
        <f t="shared" si="9"/>
        <v>71395</v>
      </c>
      <c r="U48" s="40">
        <f t="shared" si="10"/>
        <v>84911</v>
      </c>
      <c r="V48" s="14">
        <v>87257</v>
      </c>
      <c r="W48" s="14">
        <f t="shared" si="11"/>
        <v>-2346</v>
      </c>
    </row>
    <row r="49" spans="1:23" x14ac:dyDescent="0.2">
      <c r="A49" s="20" t="s">
        <v>28</v>
      </c>
      <c r="B49" s="21" t="s">
        <v>110</v>
      </c>
      <c r="C49" s="14">
        <v>5047</v>
      </c>
      <c r="D49" s="14">
        <f>'Tulumaks 2021-2024'!O49</f>
        <v>5048912</v>
      </c>
      <c r="E49" s="14">
        <v>221845.52000000011</v>
      </c>
      <c r="F49" s="14">
        <v>1123880</v>
      </c>
      <c r="G49" s="14">
        <f t="shared" si="0"/>
        <v>6394637.5200000005</v>
      </c>
      <c r="H49" s="14">
        <f t="shared" si="1"/>
        <v>1267.0175391321577</v>
      </c>
      <c r="I49" s="38">
        <f t="shared" si="2"/>
        <v>0.93527751248655577</v>
      </c>
      <c r="J49" s="13">
        <v>4.75</v>
      </c>
      <c r="K49" s="14">
        <v>28</v>
      </c>
      <c r="L49" s="13">
        <v>726</v>
      </c>
      <c r="M49" s="14">
        <v>21</v>
      </c>
      <c r="N49" s="14">
        <f t="shared" si="3"/>
        <v>12482</v>
      </c>
      <c r="O49" s="14">
        <f t="shared" si="4"/>
        <v>1959</v>
      </c>
      <c r="P49" s="14">
        <f t="shared" si="5"/>
        <v>1033</v>
      </c>
      <c r="Q49" s="14">
        <f t="shared" si="6"/>
        <v>15474</v>
      </c>
      <c r="R49" s="14">
        <f t="shared" si="7"/>
        <v>58254</v>
      </c>
      <c r="S49" s="14">
        <f t="shared" si="8"/>
        <v>3127</v>
      </c>
      <c r="T49" s="14">
        <f t="shared" si="9"/>
        <v>61381</v>
      </c>
      <c r="U49" s="40">
        <f t="shared" si="10"/>
        <v>76855</v>
      </c>
      <c r="V49" s="14">
        <v>80721</v>
      </c>
      <c r="W49" s="14">
        <f t="shared" si="11"/>
        <v>-3866</v>
      </c>
    </row>
    <row r="50" spans="1:23" x14ac:dyDescent="0.2">
      <c r="A50" s="20" t="s">
        <v>28</v>
      </c>
      <c r="B50" s="21" t="s">
        <v>109</v>
      </c>
      <c r="C50" s="14">
        <v>691</v>
      </c>
      <c r="D50" s="14">
        <f>'Tulumaks 2021-2024'!O50</f>
        <v>731172</v>
      </c>
      <c r="E50" s="14">
        <v>3470.63</v>
      </c>
      <c r="F50" s="14">
        <v>17292.334087854069</v>
      </c>
      <c r="G50" s="14">
        <f t="shared" si="0"/>
        <v>751934.96408785402</v>
      </c>
      <c r="H50" s="14">
        <f t="shared" si="1"/>
        <v>1088.1837396351</v>
      </c>
      <c r="I50" s="38">
        <f t="shared" si="2"/>
        <v>0.80326731848664346</v>
      </c>
      <c r="J50" s="13">
        <v>5</v>
      </c>
      <c r="K50" s="14">
        <v>2</v>
      </c>
      <c r="L50" s="13">
        <v>63</v>
      </c>
      <c r="M50" s="14">
        <v>1</v>
      </c>
      <c r="N50" s="14">
        <f t="shared" si="3"/>
        <v>1038</v>
      </c>
      <c r="O50" s="14">
        <f t="shared" si="4"/>
        <v>198</v>
      </c>
      <c r="P50" s="14">
        <f t="shared" si="5"/>
        <v>57</v>
      </c>
      <c r="Q50" s="14">
        <f t="shared" si="6"/>
        <v>1293</v>
      </c>
      <c r="R50" s="14">
        <f t="shared" si="7"/>
        <v>6196</v>
      </c>
      <c r="S50" s="14">
        <f t="shared" si="8"/>
        <v>183</v>
      </c>
      <c r="T50" s="14">
        <f t="shared" si="9"/>
        <v>6379</v>
      </c>
      <c r="U50" s="40">
        <f t="shared" si="10"/>
        <v>7672</v>
      </c>
      <c r="V50" s="14">
        <v>6998</v>
      </c>
      <c r="W50" s="14">
        <f t="shared" si="11"/>
        <v>674</v>
      </c>
    </row>
    <row r="51" spans="1:23" x14ac:dyDescent="0.2">
      <c r="A51" s="20" t="s">
        <v>28</v>
      </c>
      <c r="B51" s="21" t="s">
        <v>221</v>
      </c>
      <c r="C51" s="14">
        <v>5198</v>
      </c>
      <c r="D51" s="14">
        <f>'Tulumaks 2021-2024'!O51</f>
        <v>4829256</v>
      </c>
      <c r="E51" s="14">
        <v>401864.95</v>
      </c>
      <c r="F51" s="14">
        <v>829296</v>
      </c>
      <c r="G51" s="14">
        <f t="shared" si="0"/>
        <v>6060416.9500000002</v>
      </c>
      <c r="H51" s="14">
        <f t="shared" si="1"/>
        <v>1165.9132262408618</v>
      </c>
      <c r="I51" s="38">
        <f t="shared" si="2"/>
        <v>0.86064508843392362</v>
      </c>
      <c r="J51" s="13">
        <v>4.75</v>
      </c>
      <c r="K51" s="14">
        <v>35</v>
      </c>
      <c r="L51" s="13">
        <v>615</v>
      </c>
      <c r="M51" s="14">
        <v>32</v>
      </c>
      <c r="N51" s="14">
        <f t="shared" si="3"/>
        <v>16955</v>
      </c>
      <c r="O51" s="14">
        <f t="shared" si="4"/>
        <v>1803</v>
      </c>
      <c r="P51" s="14">
        <f t="shared" si="5"/>
        <v>1710</v>
      </c>
      <c r="Q51" s="14">
        <f t="shared" si="6"/>
        <v>20468</v>
      </c>
      <c r="R51" s="14">
        <f t="shared" si="7"/>
        <v>53626</v>
      </c>
      <c r="S51" s="14">
        <f t="shared" si="8"/>
        <v>5179</v>
      </c>
      <c r="T51" s="14">
        <f t="shared" si="9"/>
        <v>58805</v>
      </c>
      <c r="U51" s="40">
        <f t="shared" si="10"/>
        <v>79273</v>
      </c>
      <c r="V51" s="14">
        <v>78542</v>
      </c>
      <c r="W51" s="14">
        <f t="shared" si="11"/>
        <v>731</v>
      </c>
    </row>
    <row r="52" spans="1:23" x14ac:dyDescent="0.2">
      <c r="A52" s="20" t="s">
        <v>28</v>
      </c>
      <c r="B52" s="21" t="s">
        <v>222</v>
      </c>
      <c r="C52" s="14">
        <v>7976</v>
      </c>
      <c r="D52" s="14">
        <f>'Tulumaks 2021-2024'!O52</f>
        <v>7865175</v>
      </c>
      <c r="E52" s="14">
        <v>305991.40999999898</v>
      </c>
      <c r="F52" s="14">
        <v>1587477</v>
      </c>
      <c r="G52" s="14">
        <f t="shared" si="0"/>
        <v>9758643.4100000001</v>
      </c>
      <c r="H52" s="14">
        <f t="shared" si="1"/>
        <v>1223.5009290371113</v>
      </c>
      <c r="I52" s="38">
        <f t="shared" si="2"/>
        <v>0.90315474734360446</v>
      </c>
      <c r="J52" s="13">
        <v>4.3</v>
      </c>
      <c r="K52" s="14">
        <v>21</v>
      </c>
      <c r="L52" s="13">
        <v>1019</v>
      </c>
      <c r="M52" s="14">
        <v>66</v>
      </c>
      <c r="N52" s="14">
        <f t="shared" si="3"/>
        <v>9694</v>
      </c>
      <c r="O52" s="14">
        <f t="shared" si="4"/>
        <v>2847</v>
      </c>
      <c r="P52" s="14">
        <f t="shared" si="5"/>
        <v>3360</v>
      </c>
      <c r="Q52" s="14">
        <f t="shared" si="6"/>
        <v>15901</v>
      </c>
      <c r="R52" s="14">
        <f t="shared" si="7"/>
        <v>76651</v>
      </c>
      <c r="S52" s="14">
        <f t="shared" si="8"/>
        <v>9214</v>
      </c>
      <c r="T52" s="14">
        <f t="shared" si="9"/>
        <v>85865</v>
      </c>
      <c r="U52" s="40">
        <f t="shared" si="10"/>
        <v>101766</v>
      </c>
      <c r="V52" s="14">
        <v>110306</v>
      </c>
      <c r="W52" s="14">
        <f t="shared" si="11"/>
        <v>-8540</v>
      </c>
    </row>
    <row r="53" spans="1:23" x14ac:dyDescent="0.2">
      <c r="A53" s="20" t="s">
        <v>28</v>
      </c>
      <c r="B53" s="21" t="s">
        <v>30</v>
      </c>
      <c r="C53" s="14">
        <v>51874</v>
      </c>
      <c r="D53" s="14">
        <f>'Tulumaks 2021-2024'!O53</f>
        <v>52878396</v>
      </c>
      <c r="E53" s="14">
        <v>1662041.0999999992</v>
      </c>
      <c r="F53" s="14">
        <v>5646164</v>
      </c>
      <c r="G53" s="14">
        <f t="shared" si="0"/>
        <v>60186601.100000001</v>
      </c>
      <c r="H53" s="14">
        <f t="shared" si="1"/>
        <v>1160.2460018506381</v>
      </c>
      <c r="I53" s="38">
        <f t="shared" si="2"/>
        <v>0.85646169920158344</v>
      </c>
      <c r="J53" s="13">
        <v>0.73</v>
      </c>
      <c r="K53" s="14">
        <v>487</v>
      </c>
      <c r="L53" s="13">
        <v>7833</v>
      </c>
      <c r="M53" s="14">
        <v>413</v>
      </c>
      <c r="N53" s="14">
        <f t="shared" si="3"/>
        <v>237071</v>
      </c>
      <c r="O53" s="14">
        <f t="shared" si="4"/>
        <v>23077</v>
      </c>
      <c r="P53" s="14">
        <f t="shared" si="5"/>
        <v>22175</v>
      </c>
      <c r="Q53" s="14">
        <f t="shared" si="6"/>
        <v>282323</v>
      </c>
      <c r="R53" s="14">
        <f t="shared" si="7"/>
        <v>105482</v>
      </c>
      <c r="S53" s="14">
        <f t="shared" si="8"/>
        <v>10322</v>
      </c>
      <c r="T53" s="14">
        <f t="shared" si="9"/>
        <v>115804</v>
      </c>
      <c r="U53" s="40">
        <f t="shared" si="10"/>
        <v>398127</v>
      </c>
      <c r="V53" s="14">
        <v>408316</v>
      </c>
      <c r="W53" s="14">
        <f t="shared" si="11"/>
        <v>-10189</v>
      </c>
    </row>
    <row r="54" spans="1:23" x14ac:dyDescent="0.2">
      <c r="A54" s="20" t="s">
        <v>28</v>
      </c>
      <c r="B54" s="21" t="s">
        <v>108</v>
      </c>
      <c r="C54" s="14">
        <v>4505</v>
      </c>
      <c r="D54" s="14">
        <f>'Tulumaks 2021-2024'!O54</f>
        <v>4201580</v>
      </c>
      <c r="E54" s="14">
        <v>412501.81</v>
      </c>
      <c r="F54" s="14">
        <v>680943</v>
      </c>
      <c r="G54" s="14">
        <f t="shared" si="0"/>
        <v>5295024.8099999996</v>
      </c>
      <c r="H54" s="14">
        <f t="shared" si="1"/>
        <v>1175.366217536071</v>
      </c>
      <c r="I54" s="38">
        <f t="shared" si="2"/>
        <v>0.86762302671108116</v>
      </c>
      <c r="J54" s="13">
        <v>4.4400000000000004</v>
      </c>
      <c r="K54" s="14">
        <v>64</v>
      </c>
      <c r="L54" s="13">
        <v>522</v>
      </c>
      <c r="M54" s="14">
        <v>17</v>
      </c>
      <c r="N54" s="14">
        <f t="shared" si="3"/>
        <v>30754</v>
      </c>
      <c r="O54" s="14">
        <f t="shared" si="4"/>
        <v>1518</v>
      </c>
      <c r="P54" s="14">
        <f t="shared" si="5"/>
        <v>901</v>
      </c>
      <c r="Q54" s="14">
        <f t="shared" si="6"/>
        <v>33173</v>
      </c>
      <c r="R54" s="14">
        <f t="shared" si="7"/>
        <v>42204</v>
      </c>
      <c r="S54" s="14">
        <f t="shared" si="8"/>
        <v>2551</v>
      </c>
      <c r="T54" s="14">
        <f t="shared" si="9"/>
        <v>44755</v>
      </c>
      <c r="U54" s="40">
        <f t="shared" si="10"/>
        <v>77928</v>
      </c>
      <c r="V54" s="14">
        <v>76621</v>
      </c>
      <c r="W54" s="14">
        <f t="shared" si="11"/>
        <v>1307</v>
      </c>
    </row>
    <row r="55" spans="1:23" x14ac:dyDescent="0.2">
      <c r="A55" s="20" t="s">
        <v>28</v>
      </c>
      <c r="B55" s="21" t="s">
        <v>107</v>
      </c>
      <c r="C55" s="14">
        <v>12474</v>
      </c>
      <c r="D55" s="14">
        <f>'Tulumaks 2021-2024'!O55</f>
        <v>13028309</v>
      </c>
      <c r="E55" s="14">
        <v>313615.92</v>
      </c>
      <c r="F55" s="14">
        <v>2914611</v>
      </c>
      <c r="G55" s="14">
        <f t="shared" si="0"/>
        <v>16256535.92</v>
      </c>
      <c r="H55" s="14">
        <f t="shared" si="1"/>
        <v>1303.2335994869329</v>
      </c>
      <c r="I55" s="38">
        <f t="shared" si="2"/>
        <v>0.96201121252979094</v>
      </c>
      <c r="J55" s="13">
        <v>2.59</v>
      </c>
      <c r="K55" s="14">
        <v>50</v>
      </c>
      <c r="L55" s="13">
        <v>2066</v>
      </c>
      <c r="M55" s="14">
        <v>129</v>
      </c>
      <c r="N55" s="14">
        <f t="shared" si="3"/>
        <v>21669</v>
      </c>
      <c r="O55" s="14">
        <f t="shared" si="4"/>
        <v>5419</v>
      </c>
      <c r="P55" s="14">
        <f t="shared" si="5"/>
        <v>6166</v>
      </c>
      <c r="Q55" s="14">
        <f t="shared" si="6"/>
        <v>33254</v>
      </c>
      <c r="R55" s="14">
        <f t="shared" si="7"/>
        <v>87879</v>
      </c>
      <c r="S55" s="14">
        <f t="shared" si="8"/>
        <v>10183</v>
      </c>
      <c r="T55" s="14">
        <f t="shared" si="9"/>
        <v>98062</v>
      </c>
      <c r="U55" s="40">
        <f t="shared" si="10"/>
        <v>131316</v>
      </c>
      <c r="V55" s="14">
        <v>141445</v>
      </c>
      <c r="W55" s="14">
        <f t="shared" si="11"/>
        <v>-10129</v>
      </c>
    </row>
    <row r="56" spans="1:23" x14ac:dyDescent="0.2">
      <c r="A56" s="20" t="s">
        <v>24</v>
      </c>
      <c r="B56" s="21" t="s">
        <v>106</v>
      </c>
      <c r="C56" s="14">
        <v>5432</v>
      </c>
      <c r="D56" s="14">
        <f>'Tulumaks 2021-2024'!O56</f>
        <v>5910136</v>
      </c>
      <c r="E56" s="14">
        <v>223224.13999999978</v>
      </c>
      <c r="F56" s="14">
        <v>762974</v>
      </c>
      <c r="G56" s="14">
        <f t="shared" si="0"/>
        <v>6896334.1399999997</v>
      </c>
      <c r="H56" s="14">
        <f t="shared" si="1"/>
        <v>1269.5755044182622</v>
      </c>
      <c r="I56" s="38">
        <f t="shared" si="2"/>
        <v>0.93716573213302845</v>
      </c>
      <c r="J56" s="13">
        <v>4.46</v>
      </c>
      <c r="K56" s="14">
        <v>95</v>
      </c>
      <c r="L56" s="13">
        <v>789</v>
      </c>
      <c r="M56" s="14">
        <v>58</v>
      </c>
      <c r="N56" s="14">
        <f t="shared" si="3"/>
        <v>42263</v>
      </c>
      <c r="O56" s="14">
        <f t="shared" si="4"/>
        <v>2124</v>
      </c>
      <c r="P56" s="14">
        <f t="shared" si="5"/>
        <v>2846</v>
      </c>
      <c r="Q56" s="14">
        <f t="shared" si="6"/>
        <v>47233</v>
      </c>
      <c r="R56" s="14">
        <f t="shared" si="7"/>
        <v>59324</v>
      </c>
      <c r="S56" s="14">
        <f t="shared" si="8"/>
        <v>8093</v>
      </c>
      <c r="T56" s="14">
        <f t="shared" si="9"/>
        <v>67417</v>
      </c>
      <c r="U56" s="40">
        <f t="shared" si="10"/>
        <v>114650</v>
      </c>
      <c r="V56" s="14">
        <v>107928</v>
      </c>
      <c r="W56" s="14">
        <f t="shared" si="11"/>
        <v>6722</v>
      </c>
    </row>
    <row r="57" spans="1:23" x14ac:dyDescent="0.2">
      <c r="A57" s="20" t="s">
        <v>24</v>
      </c>
      <c r="B57" s="21" t="s">
        <v>105</v>
      </c>
      <c r="C57" s="14">
        <v>7768</v>
      </c>
      <c r="D57" s="14">
        <f>'Tulumaks 2021-2024'!O57</f>
        <v>9987060</v>
      </c>
      <c r="E57" s="14">
        <v>273428.30000000197</v>
      </c>
      <c r="F57" s="14">
        <v>605107</v>
      </c>
      <c r="G57" s="14">
        <f t="shared" si="0"/>
        <v>10865595.300000003</v>
      </c>
      <c r="H57" s="14">
        <f t="shared" si="1"/>
        <v>1398.7635556127707</v>
      </c>
      <c r="I57" s="38">
        <f t="shared" si="2"/>
        <v>1.0325287996774175</v>
      </c>
      <c r="J57" s="13">
        <v>2.2400000000000002</v>
      </c>
      <c r="K57" s="14">
        <v>20</v>
      </c>
      <c r="L57" s="13">
        <v>1443</v>
      </c>
      <c r="M57" s="14">
        <v>57</v>
      </c>
      <c r="N57" s="14">
        <f t="shared" si="3"/>
        <v>8076</v>
      </c>
      <c r="O57" s="14">
        <f t="shared" si="4"/>
        <v>3526</v>
      </c>
      <c r="P57" s="14">
        <f t="shared" si="5"/>
        <v>2539</v>
      </c>
      <c r="Q57" s="14">
        <f t="shared" si="6"/>
        <v>14141</v>
      </c>
      <c r="R57" s="14">
        <f t="shared" si="7"/>
        <v>49459</v>
      </c>
      <c r="S57" s="14">
        <f t="shared" si="8"/>
        <v>3626</v>
      </c>
      <c r="T57" s="14">
        <f t="shared" si="9"/>
        <v>53085</v>
      </c>
      <c r="U57" s="40">
        <f t="shared" si="10"/>
        <v>67226</v>
      </c>
      <c r="V57" s="14">
        <v>68597</v>
      </c>
      <c r="W57" s="14">
        <f t="shared" si="11"/>
        <v>-1371</v>
      </c>
    </row>
    <row r="58" spans="1:23" x14ac:dyDescent="0.2">
      <c r="A58" s="20" t="s">
        <v>24</v>
      </c>
      <c r="B58" s="21" t="s">
        <v>104</v>
      </c>
      <c r="C58" s="14">
        <v>7548</v>
      </c>
      <c r="D58" s="14">
        <f>'Tulumaks 2021-2024'!O58</f>
        <v>7604964</v>
      </c>
      <c r="E58" s="14">
        <v>512701.32000000199</v>
      </c>
      <c r="F58" s="14">
        <v>951272</v>
      </c>
      <c r="G58" s="14">
        <f t="shared" si="0"/>
        <v>9068937.3200000022</v>
      </c>
      <c r="H58" s="14">
        <f t="shared" si="1"/>
        <v>1201.5020296767359</v>
      </c>
      <c r="I58" s="38">
        <f t="shared" si="2"/>
        <v>0.8869157646651904</v>
      </c>
      <c r="J58" s="13">
        <v>3.85</v>
      </c>
      <c r="K58" s="14">
        <v>74</v>
      </c>
      <c r="L58" s="13">
        <v>1020</v>
      </c>
      <c r="M58" s="14">
        <v>39</v>
      </c>
      <c r="N58" s="14">
        <f t="shared" si="3"/>
        <v>34786</v>
      </c>
      <c r="O58" s="14">
        <f t="shared" si="4"/>
        <v>2902</v>
      </c>
      <c r="P58" s="14">
        <f t="shared" si="5"/>
        <v>2022</v>
      </c>
      <c r="Q58" s="14">
        <f t="shared" si="6"/>
        <v>39710</v>
      </c>
      <c r="R58" s="14">
        <f t="shared" si="7"/>
        <v>69954</v>
      </c>
      <c r="S58" s="14">
        <f t="shared" si="8"/>
        <v>4964</v>
      </c>
      <c r="T58" s="14">
        <f t="shared" si="9"/>
        <v>74918</v>
      </c>
      <c r="U58" s="40">
        <f t="shared" si="10"/>
        <v>114628</v>
      </c>
      <c r="V58" s="14">
        <v>113428</v>
      </c>
      <c r="W58" s="14">
        <f t="shared" si="11"/>
        <v>1200</v>
      </c>
    </row>
    <row r="59" spans="1:23" x14ac:dyDescent="0.2">
      <c r="A59" s="20" t="s">
        <v>24</v>
      </c>
      <c r="B59" s="21" t="s">
        <v>103</v>
      </c>
      <c r="C59" s="14">
        <v>13228</v>
      </c>
      <c r="D59" s="14">
        <f>'Tulumaks 2021-2024'!O59</f>
        <v>15258403</v>
      </c>
      <c r="E59" s="14">
        <v>482684.22000000201</v>
      </c>
      <c r="F59" s="14">
        <v>973014.63437443553</v>
      </c>
      <c r="G59" s="14">
        <f t="shared" si="0"/>
        <v>16714101.854374439</v>
      </c>
      <c r="H59" s="14">
        <f t="shared" si="1"/>
        <v>1263.5396019333564</v>
      </c>
      <c r="I59" s="38">
        <f t="shared" si="2"/>
        <v>0.93271019486748996</v>
      </c>
      <c r="J59" s="13">
        <v>2.98</v>
      </c>
      <c r="K59" s="14">
        <v>110</v>
      </c>
      <c r="L59" s="13">
        <v>2024</v>
      </c>
      <c r="M59" s="14">
        <v>118</v>
      </c>
      <c r="N59" s="14">
        <f t="shared" si="3"/>
        <v>49170</v>
      </c>
      <c r="O59" s="14">
        <f t="shared" si="4"/>
        <v>5476</v>
      </c>
      <c r="P59" s="14">
        <f t="shared" si="5"/>
        <v>5818</v>
      </c>
      <c r="Q59" s="14">
        <f t="shared" si="6"/>
        <v>60464</v>
      </c>
      <c r="R59" s="14">
        <f t="shared" si="7"/>
        <v>102168</v>
      </c>
      <c r="S59" s="14">
        <f t="shared" si="8"/>
        <v>11054</v>
      </c>
      <c r="T59" s="14">
        <f t="shared" si="9"/>
        <v>113222</v>
      </c>
      <c r="U59" s="40">
        <f t="shared" si="10"/>
        <v>173686</v>
      </c>
      <c r="V59" s="14">
        <v>163750</v>
      </c>
      <c r="W59" s="14">
        <f t="shared" si="11"/>
        <v>9936</v>
      </c>
    </row>
    <row r="60" spans="1:23" x14ac:dyDescent="0.2">
      <c r="A60" s="20" t="s">
        <v>20</v>
      </c>
      <c r="B60" s="21" t="s">
        <v>102</v>
      </c>
      <c r="C60" s="14">
        <v>2080</v>
      </c>
      <c r="D60" s="14">
        <f>'Tulumaks 2021-2024'!O60</f>
        <v>2694398</v>
      </c>
      <c r="E60" s="14">
        <v>84707.609999999986</v>
      </c>
      <c r="F60" s="14">
        <v>0</v>
      </c>
      <c r="G60" s="14">
        <f t="shared" si="0"/>
        <v>2779105.61</v>
      </c>
      <c r="H60" s="14">
        <f t="shared" si="1"/>
        <v>1336.1084663461538</v>
      </c>
      <c r="I60" s="38">
        <f t="shared" si="2"/>
        <v>0.98627853539611765</v>
      </c>
      <c r="J60" s="13">
        <v>5</v>
      </c>
      <c r="K60" s="14">
        <v>0</v>
      </c>
      <c r="L60" s="13">
        <v>193</v>
      </c>
      <c r="M60" s="14">
        <v>10</v>
      </c>
      <c r="N60" s="14">
        <f t="shared" si="3"/>
        <v>0</v>
      </c>
      <c r="O60" s="14">
        <f t="shared" si="4"/>
        <v>494</v>
      </c>
      <c r="P60" s="14">
        <f t="shared" si="5"/>
        <v>466</v>
      </c>
      <c r="Q60" s="14">
        <f t="shared" si="6"/>
        <v>960</v>
      </c>
      <c r="R60" s="14">
        <f t="shared" si="7"/>
        <v>15458</v>
      </c>
      <c r="S60" s="14">
        <f t="shared" si="8"/>
        <v>1486</v>
      </c>
      <c r="T60" s="14">
        <f t="shared" si="9"/>
        <v>16944</v>
      </c>
      <c r="U60" s="40">
        <f t="shared" si="10"/>
        <v>17904</v>
      </c>
      <c r="V60" s="14">
        <v>18666</v>
      </c>
      <c r="W60" s="14">
        <f t="shared" si="11"/>
        <v>-762</v>
      </c>
    </row>
    <row r="61" spans="1:23" x14ac:dyDescent="0.2">
      <c r="A61" s="23" t="s">
        <v>20</v>
      </c>
      <c r="B61" s="21" t="s">
        <v>101</v>
      </c>
      <c r="C61" s="14">
        <v>173</v>
      </c>
      <c r="D61" s="14">
        <f>'Tulumaks 2021-2024'!O61</f>
        <v>218381</v>
      </c>
      <c r="E61" s="14">
        <v>2479.85</v>
      </c>
      <c r="F61" s="14">
        <v>0</v>
      </c>
      <c r="G61" s="14">
        <f t="shared" si="0"/>
        <v>220860.85</v>
      </c>
      <c r="H61" s="14">
        <f t="shared" si="1"/>
        <v>1276.6523121387283</v>
      </c>
      <c r="I61" s="38">
        <f t="shared" si="2"/>
        <v>0.94238963702520284</v>
      </c>
      <c r="J61" s="13">
        <v>5</v>
      </c>
      <c r="K61" s="14">
        <v>0</v>
      </c>
      <c r="L61" s="13">
        <v>13</v>
      </c>
      <c r="M61" s="14">
        <v>0</v>
      </c>
      <c r="N61" s="14">
        <f t="shared" si="3"/>
        <v>0</v>
      </c>
      <c r="O61" s="14">
        <f t="shared" si="4"/>
        <v>35</v>
      </c>
      <c r="P61" s="14">
        <f t="shared" si="5"/>
        <v>0</v>
      </c>
      <c r="Q61" s="14">
        <f t="shared" si="6"/>
        <v>35</v>
      </c>
      <c r="R61" s="14">
        <f t="shared" si="7"/>
        <v>1090</v>
      </c>
      <c r="S61" s="14">
        <f t="shared" si="8"/>
        <v>0</v>
      </c>
      <c r="T61" s="14">
        <f t="shared" si="9"/>
        <v>1090</v>
      </c>
      <c r="U61" s="40">
        <f t="shared" si="10"/>
        <v>1125</v>
      </c>
      <c r="V61" s="14">
        <v>1243</v>
      </c>
      <c r="W61" s="14">
        <f t="shared" si="11"/>
        <v>-118</v>
      </c>
    </row>
    <row r="62" spans="1:23" x14ac:dyDescent="0.2">
      <c r="A62" s="23" t="s">
        <v>20</v>
      </c>
      <c r="B62" s="21" t="s">
        <v>223</v>
      </c>
      <c r="C62" s="14">
        <v>32296</v>
      </c>
      <c r="D62" s="14">
        <f>'Tulumaks 2021-2024'!O62</f>
        <v>34895994</v>
      </c>
      <c r="E62" s="14">
        <v>1287141.2800000058</v>
      </c>
      <c r="F62" s="14">
        <v>2714221.270464628</v>
      </c>
      <c r="G62" s="14">
        <f t="shared" si="0"/>
        <v>38897356.550464638</v>
      </c>
      <c r="H62" s="14">
        <f t="shared" si="1"/>
        <v>1204.4016766926134</v>
      </c>
      <c r="I62" s="38">
        <f t="shared" si="2"/>
        <v>0.88905620437051325</v>
      </c>
      <c r="J62" s="13">
        <v>2.86</v>
      </c>
      <c r="K62" s="14">
        <v>156</v>
      </c>
      <c r="L62" s="13">
        <v>4274</v>
      </c>
      <c r="M62" s="14">
        <v>239</v>
      </c>
      <c r="N62" s="14">
        <f t="shared" si="3"/>
        <v>73157</v>
      </c>
      <c r="O62" s="14">
        <f t="shared" si="4"/>
        <v>12130</v>
      </c>
      <c r="P62" s="14">
        <f t="shared" si="5"/>
        <v>12362</v>
      </c>
      <c r="Q62" s="14">
        <f t="shared" si="6"/>
        <v>97649</v>
      </c>
      <c r="R62" s="14">
        <f t="shared" si="7"/>
        <v>217223</v>
      </c>
      <c r="S62" s="14">
        <f t="shared" si="8"/>
        <v>22543</v>
      </c>
      <c r="T62" s="14">
        <f t="shared" si="9"/>
        <v>239766</v>
      </c>
      <c r="U62" s="40">
        <f t="shared" si="10"/>
        <v>337415</v>
      </c>
      <c r="V62" s="14">
        <v>359316</v>
      </c>
      <c r="W62" s="14">
        <f t="shared" si="11"/>
        <v>-21901</v>
      </c>
    </row>
    <row r="63" spans="1:23" x14ac:dyDescent="0.2">
      <c r="A63" s="20" t="s">
        <v>13</v>
      </c>
      <c r="B63" s="21" t="s">
        <v>224</v>
      </c>
      <c r="C63" s="14">
        <v>14707</v>
      </c>
      <c r="D63" s="14">
        <f>'Tulumaks 2021-2024'!O63</f>
        <v>15458274</v>
      </c>
      <c r="E63" s="14">
        <v>375879.19000000099</v>
      </c>
      <c r="F63" s="14">
        <v>2882626.4629712407</v>
      </c>
      <c r="G63" s="14">
        <f t="shared" si="0"/>
        <v>18716779.652971242</v>
      </c>
      <c r="H63" s="14">
        <f t="shared" si="1"/>
        <v>1272.6442954355914</v>
      </c>
      <c r="I63" s="38">
        <f t="shared" si="2"/>
        <v>0.93943102928984179</v>
      </c>
      <c r="J63" s="13">
        <v>3</v>
      </c>
      <c r="K63" s="14">
        <v>62</v>
      </c>
      <c r="L63" s="13">
        <v>2281</v>
      </c>
      <c r="M63" s="14">
        <v>178</v>
      </c>
      <c r="N63" s="14">
        <f t="shared" si="3"/>
        <v>27516</v>
      </c>
      <c r="O63" s="14">
        <f t="shared" si="4"/>
        <v>6127</v>
      </c>
      <c r="P63" s="14">
        <f t="shared" si="5"/>
        <v>8713</v>
      </c>
      <c r="Q63" s="14">
        <f t="shared" si="6"/>
        <v>42356</v>
      </c>
      <c r="R63" s="14">
        <f t="shared" si="7"/>
        <v>115084</v>
      </c>
      <c r="S63" s="14">
        <f t="shared" si="8"/>
        <v>16667</v>
      </c>
      <c r="T63" s="14">
        <f t="shared" si="9"/>
        <v>131751</v>
      </c>
      <c r="U63" s="40">
        <f t="shared" si="10"/>
        <v>174107</v>
      </c>
      <c r="V63" s="14">
        <v>179330</v>
      </c>
      <c r="W63" s="14">
        <f t="shared" si="11"/>
        <v>-5223</v>
      </c>
    </row>
    <row r="64" spans="1:23" x14ac:dyDescent="0.2">
      <c r="A64" s="20" t="s">
        <v>13</v>
      </c>
      <c r="B64" s="21" t="s">
        <v>100</v>
      </c>
      <c r="C64" s="14">
        <v>13434</v>
      </c>
      <c r="D64" s="14">
        <f>'Tulumaks 2021-2024'!O64</f>
        <v>20044982</v>
      </c>
      <c r="E64" s="14">
        <v>268556.49000000081</v>
      </c>
      <c r="F64" s="14">
        <v>1368051.2331978194</v>
      </c>
      <c r="G64" s="14">
        <f t="shared" si="0"/>
        <v>21681589.723197822</v>
      </c>
      <c r="H64" s="14">
        <f t="shared" si="1"/>
        <v>1613.934027333469</v>
      </c>
      <c r="I64" s="38">
        <f t="shared" si="2"/>
        <v>1.1913617260861045</v>
      </c>
      <c r="J64" s="13">
        <v>2.27</v>
      </c>
      <c r="K64" s="14">
        <v>44</v>
      </c>
      <c r="L64" s="13">
        <v>2494</v>
      </c>
      <c r="M64" s="14">
        <v>117</v>
      </c>
      <c r="N64" s="14">
        <f t="shared" si="3"/>
        <v>15398</v>
      </c>
      <c r="O64" s="14">
        <f t="shared" si="4"/>
        <v>5282</v>
      </c>
      <c r="P64" s="14">
        <f t="shared" si="5"/>
        <v>4516</v>
      </c>
      <c r="Q64" s="14">
        <f t="shared" si="6"/>
        <v>25196</v>
      </c>
      <c r="R64" s="14">
        <f t="shared" si="7"/>
        <v>75078</v>
      </c>
      <c r="S64" s="14">
        <f t="shared" si="8"/>
        <v>6537</v>
      </c>
      <c r="T64" s="14">
        <f t="shared" si="9"/>
        <v>81615</v>
      </c>
      <c r="U64" s="40">
        <f t="shared" si="10"/>
        <v>106811</v>
      </c>
      <c r="V64" s="14">
        <v>112068</v>
      </c>
      <c r="W64" s="14">
        <f t="shared" si="11"/>
        <v>-5257</v>
      </c>
    </row>
    <row r="65" spans="1:23" x14ac:dyDescent="0.2">
      <c r="A65" s="20" t="s">
        <v>13</v>
      </c>
      <c r="B65" s="21" t="s">
        <v>225</v>
      </c>
      <c r="C65" s="14">
        <v>6100</v>
      </c>
      <c r="D65" s="14">
        <f>'Tulumaks 2021-2024'!O65</f>
        <v>7494181</v>
      </c>
      <c r="E65" s="14">
        <v>198292.50999999981</v>
      </c>
      <c r="F65" s="14">
        <v>1596446</v>
      </c>
      <c r="G65" s="14">
        <f t="shared" si="0"/>
        <v>9288919.5099999998</v>
      </c>
      <c r="H65" s="14">
        <f t="shared" si="1"/>
        <v>1522.7736901639344</v>
      </c>
      <c r="I65" s="38">
        <f t="shared" si="2"/>
        <v>1.1240696715153706</v>
      </c>
      <c r="J65" s="13">
        <v>4.62</v>
      </c>
      <c r="K65" s="14">
        <v>20</v>
      </c>
      <c r="L65" s="13">
        <v>905</v>
      </c>
      <c r="M65" s="14">
        <v>82</v>
      </c>
      <c r="N65" s="14">
        <f t="shared" si="3"/>
        <v>7418</v>
      </c>
      <c r="O65" s="14">
        <f t="shared" si="4"/>
        <v>2031</v>
      </c>
      <c r="P65" s="14">
        <f t="shared" si="5"/>
        <v>3355</v>
      </c>
      <c r="Q65" s="14">
        <f t="shared" si="6"/>
        <v>12804</v>
      </c>
      <c r="R65" s="14">
        <f t="shared" si="7"/>
        <v>58767</v>
      </c>
      <c r="S65" s="14">
        <f t="shared" si="8"/>
        <v>9882</v>
      </c>
      <c r="T65" s="14">
        <f t="shared" si="9"/>
        <v>68649</v>
      </c>
      <c r="U65" s="40">
        <f t="shared" si="10"/>
        <v>81453</v>
      </c>
      <c r="V65" s="14">
        <v>81867</v>
      </c>
      <c r="W65" s="14">
        <f t="shared" si="11"/>
        <v>-414</v>
      </c>
    </row>
    <row r="66" spans="1:23" x14ac:dyDescent="0.2">
      <c r="A66" s="20" t="s">
        <v>13</v>
      </c>
      <c r="B66" s="21" t="s">
        <v>99</v>
      </c>
      <c r="C66" s="14">
        <v>5737</v>
      </c>
      <c r="D66" s="14">
        <f>'Tulumaks 2021-2024'!O66</f>
        <v>8247964</v>
      </c>
      <c r="E66" s="14">
        <v>66472.41</v>
      </c>
      <c r="F66" s="14">
        <v>679424</v>
      </c>
      <c r="G66" s="14">
        <f t="shared" si="0"/>
        <v>8993860.4100000001</v>
      </c>
      <c r="H66" s="14">
        <f t="shared" si="1"/>
        <v>1567.6939881471153</v>
      </c>
      <c r="I66" s="38">
        <f t="shared" si="2"/>
        <v>1.1572286004648791</v>
      </c>
      <c r="J66" s="13">
        <v>3.7</v>
      </c>
      <c r="K66" s="14">
        <v>13</v>
      </c>
      <c r="L66" s="13">
        <v>1001</v>
      </c>
      <c r="M66" s="14">
        <v>59</v>
      </c>
      <c r="N66" s="14">
        <f t="shared" si="3"/>
        <v>4684</v>
      </c>
      <c r="O66" s="14">
        <f t="shared" si="4"/>
        <v>2183</v>
      </c>
      <c r="P66" s="14">
        <f t="shared" si="5"/>
        <v>2344</v>
      </c>
      <c r="Q66" s="14">
        <f t="shared" si="6"/>
        <v>9211</v>
      </c>
      <c r="R66" s="14">
        <f t="shared" si="7"/>
        <v>50565</v>
      </c>
      <c r="S66" s="14">
        <f t="shared" si="8"/>
        <v>5531</v>
      </c>
      <c r="T66" s="14">
        <f t="shared" si="9"/>
        <v>56096</v>
      </c>
      <c r="U66" s="40">
        <f t="shared" si="10"/>
        <v>65307</v>
      </c>
      <c r="V66" s="14">
        <v>63592</v>
      </c>
      <c r="W66" s="14">
        <f t="shared" si="11"/>
        <v>1715</v>
      </c>
    </row>
    <row r="67" spans="1:23" x14ac:dyDescent="0.2">
      <c r="A67" s="20" t="s">
        <v>13</v>
      </c>
      <c r="B67" s="21" t="s">
        <v>98</v>
      </c>
      <c r="C67" s="14">
        <v>4443</v>
      </c>
      <c r="D67" s="14">
        <f>'Tulumaks 2021-2024'!O67</f>
        <v>5489148</v>
      </c>
      <c r="E67" s="14">
        <v>123612.4099999999</v>
      </c>
      <c r="F67" s="14">
        <v>630959</v>
      </c>
      <c r="G67" s="14">
        <f t="shared" si="0"/>
        <v>6243719.4100000001</v>
      </c>
      <c r="H67" s="14">
        <f t="shared" si="1"/>
        <v>1405.2935876659915</v>
      </c>
      <c r="I67" s="38">
        <f t="shared" si="2"/>
        <v>1.0373490898048747</v>
      </c>
      <c r="J67" s="13">
        <v>3.67</v>
      </c>
      <c r="K67" s="14">
        <v>10</v>
      </c>
      <c r="L67" s="13">
        <v>757</v>
      </c>
      <c r="M67" s="14">
        <v>51</v>
      </c>
      <c r="N67" s="14">
        <f t="shared" si="3"/>
        <v>4019</v>
      </c>
      <c r="O67" s="14">
        <f t="shared" si="4"/>
        <v>1841</v>
      </c>
      <c r="P67" s="14">
        <f t="shared" si="5"/>
        <v>2261</v>
      </c>
      <c r="Q67" s="14">
        <f t="shared" si="6"/>
        <v>8121</v>
      </c>
      <c r="R67" s="14">
        <f t="shared" si="7"/>
        <v>42313</v>
      </c>
      <c r="S67" s="14">
        <f t="shared" si="8"/>
        <v>5291</v>
      </c>
      <c r="T67" s="14">
        <f t="shared" si="9"/>
        <v>47604</v>
      </c>
      <c r="U67" s="40">
        <f t="shared" si="10"/>
        <v>55725</v>
      </c>
      <c r="V67" s="14">
        <v>57457</v>
      </c>
      <c r="W67" s="14">
        <f t="shared" si="11"/>
        <v>-1732</v>
      </c>
    </row>
    <row r="68" spans="1:23" x14ac:dyDescent="0.2">
      <c r="A68" s="20" t="s">
        <v>13</v>
      </c>
      <c r="B68" s="21" t="s">
        <v>97</v>
      </c>
      <c r="C68" s="14">
        <v>5329</v>
      </c>
      <c r="D68" s="14">
        <f>'Tulumaks 2021-2024'!O68</f>
        <v>4892701</v>
      </c>
      <c r="E68" s="14">
        <v>318135.76000000088</v>
      </c>
      <c r="F68" s="14">
        <v>1075363</v>
      </c>
      <c r="G68" s="14">
        <f t="shared" si="0"/>
        <v>6286199.7600000007</v>
      </c>
      <c r="H68" s="14">
        <f t="shared" si="1"/>
        <v>1179.6208969787954</v>
      </c>
      <c r="I68" s="38">
        <f t="shared" si="2"/>
        <v>0.87076371409915365</v>
      </c>
      <c r="J68" s="13">
        <v>4.96</v>
      </c>
      <c r="K68" s="14">
        <v>18</v>
      </c>
      <c r="L68" s="13">
        <v>624</v>
      </c>
      <c r="M68" s="14">
        <v>50</v>
      </c>
      <c r="N68" s="14">
        <f t="shared" si="3"/>
        <v>8618</v>
      </c>
      <c r="O68" s="14">
        <f t="shared" si="4"/>
        <v>1808</v>
      </c>
      <c r="P68" s="14">
        <f t="shared" si="5"/>
        <v>2640</v>
      </c>
      <c r="Q68" s="14">
        <f t="shared" si="6"/>
        <v>13066</v>
      </c>
      <c r="R68" s="14">
        <f t="shared" si="7"/>
        <v>56157</v>
      </c>
      <c r="S68" s="14">
        <f t="shared" si="8"/>
        <v>8351</v>
      </c>
      <c r="T68" s="14">
        <f t="shared" si="9"/>
        <v>64508</v>
      </c>
      <c r="U68" s="40">
        <f t="shared" si="10"/>
        <v>77574</v>
      </c>
      <c r="V68" s="14">
        <v>78359</v>
      </c>
      <c r="W68" s="14">
        <f t="shared" si="11"/>
        <v>-785</v>
      </c>
    </row>
    <row r="69" spans="1:23" x14ac:dyDescent="0.2">
      <c r="A69" s="20" t="s">
        <v>13</v>
      </c>
      <c r="B69" s="21" t="s">
        <v>96</v>
      </c>
      <c r="C69" s="14">
        <v>12747</v>
      </c>
      <c r="D69" s="14">
        <f>'Tulumaks 2021-2024'!O69</f>
        <v>17408557</v>
      </c>
      <c r="E69" s="14">
        <v>342898.109999999</v>
      </c>
      <c r="F69" s="14">
        <v>2445602</v>
      </c>
      <c r="G69" s="14">
        <f t="shared" ref="G69:G82" si="12">SUM(D69:F69)</f>
        <v>20197057.109999999</v>
      </c>
      <c r="H69" s="14">
        <f t="shared" ref="H69:H83" si="13">G69/C69</f>
        <v>1584.4557236996941</v>
      </c>
      <c r="I69" s="38">
        <f t="shared" ref="I69:I83" si="14">H69/H$83</f>
        <v>1.1696016528089779</v>
      </c>
      <c r="J69" s="13">
        <v>3.22</v>
      </c>
      <c r="K69" s="14">
        <v>39</v>
      </c>
      <c r="L69" s="13">
        <v>2173</v>
      </c>
      <c r="M69" s="14">
        <v>120</v>
      </c>
      <c r="N69" s="14">
        <f t="shared" ref="N69:N82" si="15">ROUND($K69*N$86/$I69,0)</f>
        <v>13902</v>
      </c>
      <c r="O69" s="14">
        <f t="shared" ref="O69:O82" si="16">ROUND($L69*O$86/$I69,0)</f>
        <v>4688</v>
      </c>
      <c r="P69" s="14">
        <f t="shared" ref="P69:P82" si="17">ROUND($M69*P$86/$I69,0)</f>
        <v>4718</v>
      </c>
      <c r="Q69" s="14">
        <f t="shared" ref="Q69:Q82" si="18">SUM(N69:P69)</f>
        <v>23308</v>
      </c>
      <c r="R69" s="14">
        <f t="shared" ref="R69:R82" si="19">ROUND($L69*R$86/$I69*$J69,0)</f>
        <v>94517</v>
      </c>
      <c r="S69" s="14">
        <f t="shared" ref="S69:S82" si="20">ROUND($M69*S$86/$I69*$J69,0)</f>
        <v>9687</v>
      </c>
      <c r="T69" s="14">
        <f t="shared" ref="T69:T82" si="21">SUM(R69:S69)</f>
        <v>104204</v>
      </c>
      <c r="U69" s="40">
        <f t="shared" ref="U69:U82" si="22">Q69+T69</f>
        <v>127512</v>
      </c>
      <c r="V69" s="14">
        <v>134298</v>
      </c>
      <c r="W69" s="14">
        <f t="shared" ref="W69:W82" si="23">U69-V69</f>
        <v>-6786</v>
      </c>
    </row>
    <row r="70" spans="1:23" x14ac:dyDescent="0.2">
      <c r="A70" s="20" t="s">
        <v>13</v>
      </c>
      <c r="B70" s="21" t="s">
        <v>15</v>
      </c>
      <c r="C70" s="14">
        <v>97435</v>
      </c>
      <c r="D70" s="14">
        <f>'Tulumaks 2021-2024'!O70</f>
        <v>125129745</v>
      </c>
      <c r="E70" s="14">
        <v>1985862.4499999201</v>
      </c>
      <c r="F70" s="14">
        <v>393667.69003722887</v>
      </c>
      <c r="G70" s="14">
        <f t="shared" si="12"/>
        <v>127509275.14003715</v>
      </c>
      <c r="H70" s="14">
        <f t="shared" si="13"/>
        <v>1308.6598772518823</v>
      </c>
      <c r="I70" s="38">
        <f t="shared" si="14"/>
        <v>0.966016741587849</v>
      </c>
      <c r="J70" s="13">
        <v>0.21</v>
      </c>
      <c r="K70" s="14">
        <v>661</v>
      </c>
      <c r="L70" s="13">
        <v>15675</v>
      </c>
      <c r="M70" s="14">
        <v>1093</v>
      </c>
      <c r="N70" s="14">
        <f t="shared" si="15"/>
        <v>285282</v>
      </c>
      <c r="O70" s="14">
        <f t="shared" si="16"/>
        <v>40943</v>
      </c>
      <c r="P70" s="14">
        <f t="shared" si="17"/>
        <v>52029</v>
      </c>
      <c r="Q70" s="14">
        <f t="shared" si="18"/>
        <v>378254</v>
      </c>
      <c r="R70" s="14">
        <f t="shared" si="19"/>
        <v>53836</v>
      </c>
      <c r="S70" s="14">
        <f t="shared" si="20"/>
        <v>6967</v>
      </c>
      <c r="T70" s="14">
        <f t="shared" si="21"/>
        <v>60803</v>
      </c>
      <c r="U70" s="40">
        <f t="shared" si="22"/>
        <v>439057</v>
      </c>
      <c r="V70" s="14">
        <v>403250</v>
      </c>
      <c r="W70" s="14">
        <f t="shared" si="23"/>
        <v>35807</v>
      </c>
    </row>
    <row r="71" spans="1:23" x14ac:dyDescent="0.2">
      <c r="A71" s="20" t="s">
        <v>10</v>
      </c>
      <c r="B71" s="21" t="s">
        <v>95</v>
      </c>
      <c r="C71" s="14">
        <v>6541</v>
      </c>
      <c r="D71" s="14">
        <f>'Tulumaks 2021-2024'!O71</f>
        <v>6844868</v>
      </c>
      <c r="E71" s="14">
        <v>207607.85999999969</v>
      </c>
      <c r="F71" s="14">
        <v>1062870</v>
      </c>
      <c r="G71" s="14">
        <f t="shared" si="12"/>
        <v>8115345.8599999994</v>
      </c>
      <c r="H71" s="14">
        <f t="shared" si="13"/>
        <v>1240.6888640880597</v>
      </c>
      <c r="I71" s="38">
        <f t="shared" si="14"/>
        <v>0.91584240843963194</v>
      </c>
      <c r="J71" s="13">
        <v>4.2</v>
      </c>
      <c r="K71" s="14">
        <v>59</v>
      </c>
      <c r="L71" s="13">
        <v>843</v>
      </c>
      <c r="M71" s="14">
        <v>60</v>
      </c>
      <c r="N71" s="14">
        <f t="shared" si="15"/>
        <v>26859</v>
      </c>
      <c r="O71" s="14">
        <f t="shared" si="16"/>
        <v>2323</v>
      </c>
      <c r="P71" s="14">
        <f t="shared" si="17"/>
        <v>3013</v>
      </c>
      <c r="Q71" s="14">
        <f t="shared" si="18"/>
        <v>32195</v>
      </c>
      <c r="R71" s="14">
        <f t="shared" si="19"/>
        <v>61079</v>
      </c>
      <c r="S71" s="14">
        <f t="shared" si="20"/>
        <v>8068</v>
      </c>
      <c r="T71" s="14">
        <f t="shared" si="21"/>
        <v>69147</v>
      </c>
      <c r="U71" s="40">
        <f t="shared" si="22"/>
        <v>101342</v>
      </c>
      <c r="V71" s="14">
        <v>129884</v>
      </c>
      <c r="W71" s="14">
        <f t="shared" si="23"/>
        <v>-28542</v>
      </c>
    </row>
    <row r="72" spans="1:23" x14ac:dyDescent="0.2">
      <c r="A72" s="20" t="s">
        <v>10</v>
      </c>
      <c r="B72" s="21" t="s">
        <v>226</v>
      </c>
      <c r="C72" s="14">
        <v>5929</v>
      </c>
      <c r="D72" s="14">
        <f>'Tulumaks 2021-2024'!O72</f>
        <v>5512487</v>
      </c>
      <c r="E72" s="14">
        <v>310808.0500000001</v>
      </c>
      <c r="F72" s="14">
        <v>953330</v>
      </c>
      <c r="G72" s="14">
        <f t="shared" si="12"/>
        <v>6776625.0499999998</v>
      </c>
      <c r="H72" s="14">
        <f t="shared" si="13"/>
        <v>1142.9625653567211</v>
      </c>
      <c r="I72" s="38">
        <f t="shared" si="14"/>
        <v>0.84370354156603722</v>
      </c>
      <c r="J72" s="13">
        <v>3.2</v>
      </c>
      <c r="K72" s="14">
        <v>107</v>
      </c>
      <c r="L72" s="13">
        <v>801</v>
      </c>
      <c r="M72" s="14">
        <v>57</v>
      </c>
      <c r="N72" s="14">
        <f t="shared" si="15"/>
        <v>52875</v>
      </c>
      <c r="O72" s="14">
        <f t="shared" si="16"/>
        <v>2396</v>
      </c>
      <c r="P72" s="14">
        <f t="shared" si="17"/>
        <v>3107</v>
      </c>
      <c r="Q72" s="14">
        <f t="shared" si="18"/>
        <v>58378</v>
      </c>
      <c r="R72" s="14">
        <f t="shared" si="19"/>
        <v>47998</v>
      </c>
      <c r="S72" s="14">
        <f t="shared" si="20"/>
        <v>6339</v>
      </c>
      <c r="T72" s="14">
        <f t="shared" si="21"/>
        <v>54337</v>
      </c>
      <c r="U72" s="40">
        <f t="shared" si="22"/>
        <v>112715</v>
      </c>
      <c r="V72" s="14">
        <v>106515</v>
      </c>
      <c r="W72" s="14">
        <f t="shared" si="23"/>
        <v>6200</v>
      </c>
    </row>
    <row r="73" spans="1:23" x14ac:dyDescent="0.2">
      <c r="A73" s="20" t="s">
        <v>10</v>
      </c>
      <c r="B73" s="21" t="s">
        <v>227</v>
      </c>
      <c r="C73" s="14">
        <v>15456</v>
      </c>
      <c r="D73" s="14">
        <f>'Tulumaks 2021-2024'!O73</f>
        <v>11572848</v>
      </c>
      <c r="E73" s="14">
        <v>392829.16</v>
      </c>
      <c r="F73" s="14">
        <v>4194598</v>
      </c>
      <c r="G73" s="14">
        <f t="shared" si="12"/>
        <v>16160275.16</v>
      </c>
      <c r="H73" s="14">
        <f t="shared" si="13"/>
        <v>1045.5664570393376</v>
      </c>
      <c r="I73" s="38">
        <f t="shared" si="14"/>
        <v>0.77180841217789364</v>
      </c>
      <c r="J73" s="13">
        <v>1.05</v>
      </c>
      <c r="K73" s="14">
        <v>299</v>
      </c>
      <c r="L73" s="13">
        <v>2130</v>
      </c>
      <c r="M73" s="14">
        <v>196</v>
      </c>
      <c r="N73" s="14">
        <f t="shared" si="15"/>
        <v>161517</v>
      </c>
      <c r="O73" s="14">
        <f t="shared" si="16"/>
        <v>6964</v>
      </c>
      <c r="P73" s="14">
        <f t="shared" si="17"/>
        <v>11678</v>
      </c>
      <c r="Q73" s="14">
        <f t="shared" si="18"/>
        <v>180159</v>
      </c>
      <c r="R73" s="14">
        <f t="shared" si="19"/>
        <v>45782</v>
      </c>
      <c r="S73" s="14">
        <f t="shared" si="20"/>
        <v>7818</v>
      </c>
      <c r="T73" s="14">
        <f t="shared" si="21"/>
        <v>53600</v>
      </c>
      <c r="U73" s="40">
        <f t="shared" si="22"/>
        <v>233759</v>
      </c>
      <c r="V73" s="14">
        <v>202154</v>
      </c>
      <c r="W73" s="14">
        <f t="shared" si="23"/>
        <v>31605</v>
      </c>
    </row>
    <row r="74" spans="1:23" x14ac:dyDescent="0.2">
      <c r="A74" s="20" t="s">
        <v>6</v>
      </c>
      <c r="B74" s="21" t="s">
        <v>228</v>
      </c>
      <c r="C74" s="14">
        <v>7268</v>
      </c>
      <c r="D74" s="14">
        <f>'Tulumaks 2021-2024'!O74</f>
        <v>6150331</v>
      </c>
      <c r="E74" s="14">
        <v>447089.67</v>
      </c>
      <c r="F74" s="14">
        <v>1633813</v>
      </c>
      <c r="G74" s="14">
        <f t="shared" si="12"/>
        <v>8231233.6699999999</v>
      </c>
      <c r="H74" s="14">
        <f t="shared" si="13"/>
        <v>1132.5307746285084</v>
      </c>
      <c r="I74" s="38">
        <f t="shared" si="14"/>
        <v>0.83600308045817762</v>
      </c>
      <c r="J74" s="13">
        <v>4.68</v>
      </c>
      <c r="K74" s="14">
        <v>52</v>
      </c>
      <c r="L74" s="13">
        <v>888</v>
      </c>
      <c r="M74" s="14">
        <v>77</v>
      </c>
      <c r="N74" s="14">
        <f t="shared" si="15"/>
        <v>25933</v>
      </c>
      <c r="O74" s="14">
        <f t="shared" si="16"/>
        <v>2680</v>
      </c>
      <c r="P74" s="14">
        <f t="shared" si="17"/>
        <v>4235</v>
      </c>
      <c r="Q74" s="14">
        <f t="shared" si="18"/>
        <v>32848</v>
      </c>
      <c r="R74" s="14">
        <f t="shared" si="19"/>
        <v>78539</v>
      </c>
      <c r="S74" s="14">
        <f t="shared" si="20"/>
        <v>12639</v>
      </c>
      <c r="T74" s="14">
        <f t="shared" si="21"/>
        <v>91178</v>
      </c>
      <c r="U74" s="40">
        <f t="shared" si="22"/>
        <v>124026</v>
      </c>
      <c r="V74" s="14">
        <v>119784</v>
      </c>
      <c r="W74" s="14">
        <f t="shared" si="23"/>
        <v>4242</v>
      </c>
    </row>
    <row r="75" spans="1:23" x14ac:dyDescent="0.2">
      <c r="A75" s="20" t="s">
        <v>6</v>
      </c>
      <c r="B75" s="21" t="s">
        <v>229</v>
      </c>
      <c r="C75" s="14">
        <v>7899</v>
      </c>
      <c r="D75" s="14">
        <f>'Tulumaks 2021-2024'!O75</f>
        <v>7486930</v>
      </c>
      <c r="E75" s="14">
        <v>420234.93000000098</v>
      </c>
      <c r="F75" s="14">
        <v>1578158</v>
      </c>
      <c r="G75" s="14">
        <f t="shared" si="12"/>
        <v>9485322.9299999997</v>
      </c>
      <c r="H75" s="14">
        <f t="shared" si="13"/>
        <v>1200.8257918723889</v>
      </c>
      <c r="I75" s="38">
        <f t="shared" si="14"/>
        <v>0.88641658451024774</v>
      </c>
      <c r="J75" s="13">
        <v>4.6500000000000004</v>
      </c>
      <c r="K75" s="14">
        <v>53</v>
      </c>
      <c r="L75" s="13">
        <v>1075</v>
      </c>
      <c r="M75" s="14">
        <v>80</v>
      </c>
      <c r="N75" s="14">
        <f t="shared" si="15"/>
        <v>24928</v>
      </c>
      <c r="O75" s="14">
        <f t="shared" si="16"/>
        <v>3060</v>
      </c>
      <c r="P75" s="14">
        <f t="shared" si="17"/>
        <v>4150</v>
      </c>
      <c r="Q75" s="14">
        <f t="shared" si="18"/>
        <v>32138</v>
      </c>
      <c r="R75" s="14">
        <f t="shared" si="19"/>
        <v>89096</v>
      </c>
      <c r="S75" s="14">
        <f t="shared" si="20"/>
        <v>12305</v>
      </c>
      <c r="T75" s="14">
        <f t="shared" si="21"/>
        <v>101401</v>
      </c>
      <c r="U75" s="40">
        <f t="shared" si="22"/>
        <v>133539</v>
      </c>
      <c r="V75" s="14">
        <v>139923</v>
      </c>
      <c r="W75" s="14">
        <f t="shared" si="23"/>
        <v>-6384</v>
      </c>
    </row>
    <row r="76" spans="1:23" x14ac:dyDescent="0.2">
      <c r="A76" s="20" t="s">
        <v>6</v>
      </c>
      <c r="B76" s="21" t="s">
        <v>94</v>
      </c>
      <c r="C76" s="14">
        <v>13620</v>
      </c>
      <c r="D76" s="14">
        <f>'Tulumaks 2021-2024'!O76</f>
        <v>13422278</v>
      </c>
      <c r="E76" s="14">
        <v>678621.94999999797</v>
      </c>
      <c r="F76" s="14">
        <v>2345991</v>
      </c>
      <c r="G76" s="14">
        <f t="shared" si="12"/>
        <v>16446890.949999997</v>
      </c>
      <c r="H76" s="14">
        <f t="shared" si="13"/>
        <v>1207.5544016152714</v>
      </c>
      <c r="I76" s="38">
        <f t="shared" si="14"/>
        <v>0.89138345922859341</v>
      </c>
      <c r="J76" s="13">
        <v>4.79</v>
      </c>
      <c r="K76" s="14">
        <v>36</v>
      </c>
      <c r="L76" s="13">
        <v>1839</v>
      </c>
      <c r="M76" s="14">
        <v>114</v>
      </c>
      <c r="N76" s="14">
        <f t="shared" si="15"/>
        <v>16838</v>
      </c>
      <c r="O76" s="14">
        <f t="shared" si="16"/>
        <v>5206</v>
      </c>
      <c r="P76" s="14">
        <f t="shared" si="17"/>
        <v>5881</v>
      </c>
      <c r="Q76" s="14">
        <f t="shared" si="18"/>
        <v>27925</v>
      </c>
      <c r="R76" s="14">
        <f t="shared" si="19"/>
        <v>156130</v>
      </c>
      <c r="S76" s="14">
        <f t="shared" si="20"/>
        <v>17962</v>
      </c>
      <c r="T76" s="14">
        <f t="shared" si="21"/>
        <v>174092</v>
      </c>
      <c r="U76" s="40">
        <f t="shared" si="22"/>
        <v>202017</v>
      </c>
      <c r="V76" s="14">
        <v>201763</v>
      </c>
      <c r="W76" s="14">
        <f t="shared" si="23"/>
        <v>254</v>
      </c>
    </row>
    <row r="77" spans="1:23" x14ac:dyDescent="0.2">
      <c r="A77" s="20" t="s">
        <v>6</v>
      </c>
      <c r="B77" s="21" t="s">
        <v>5</v>
      </c>
      <c r="C77" s="14">
        <v>16800</v>
      </c>
      <c r="D77" s="14">
        <f>'Tulumaks 2021-2024'!O77</f>
        <v>17500269</v>
      </c>
      <c r="E77" s="14">
        <v>163181.74000000101</v>
      </c>
      <c r="F77" s="14">
        <v>1686098</v>
      </c>
      <c r="G77" s="14">
        <f t="shared" si="12"/>
        <v>19349548.740000002</v>
      </c>
      <c r="H77" s="14">
        <f t="shared" si="13"/>
        <v>1151.7588535714287</v>
      </c>
      <c r="I77" s="38">
        <f t="shared" si="14"/>
        <v>0.85019671968431454</v>
      </c>
      <c r="J77" s="13">
        <v>0</v>
      </c>
      <c r="K77" s="14">
        <v>89</v>
      </c>
      <c r="L77" s="13">
        <v>2493</v>
      </c>
      <c r="M77" s="14">
        <v>170</v>
      </c>
      <c r="N77" s="14">
        <f t="shared" si="15"/>
        <v>43644</v>
      </c>
      <c r="O77" s="14">
        <f t="shared" si="16"/>
        <v>7399</v>
      </c>
      <c r="P77" s="14">
        <f t="shared" si="17"/>
        <v>9195</v>
      </c>
      <c r="Q77" s="14">
        <f t="shared" si="18"/>
        <v>60238</v>
      </c>
      <c r="R77" s="14">
        <f t="shared" si="19"/>
        <v>0</v>
      </c>
      <c r="S77" s="14">
        <f t="shared" si="20"/>
        <v>0</v>
      </c>
      <c r="T77" s="14">
        <f t="shared" si="21"/>
        <v>0</v>
      </c>
      <c r="U77" s="40">
        <f t="shared" si="22"/>
        <v>60238</v>
      </c>
      <c r="V77" s="14">
        <v>56932</v>
      </c>
      <c r="W77" s="14">
        <f t="shared" si="23"/>
        <v>3306</v>
      </c>
    </row>
    <row r="78" spans="1:23" x14ac:dyDescent="0.2">
      <c r="A78" s="20" t="s">
        <v>1</v>
      </c>
      <c r="B78" s="21" t="s">
        <v>93</v>
      </c>
      <c r="C78" s="14">
        <v>4329</v>
      </c>
      <c r="D78" s="14">
        <f>'Tulumaks 2021-2024'!O78</f>
        <v>3733968</v>
      </c>
      <c r="E78" s="14">
        <v>166259.09999999992</v>
      </c>
      <c r="F78" s="14">
        <v>951883</v>
      </c>
      <c r="G78" s="14">
        <f t="shared" si="12"/>
        <v>4852110.0999999996</v>
      </c>
      <c r="H78" s="14">
        <f t="shared" si="13"/>
        <v>1120.8385539385538</v>
      </c>
      <c r="I78" s="38">
        <f t="shared" si="14"/>
        <v>0.82737220460634464</v>
      </c>
      <c r="J78" s="13">
        <v>4.7300000000000004</v>
      </c>
      <c r="K78" s="14">
        <v>18</v>
      </c>
      <c r="L78" s="13">
        <v>546</v>
      </c>
      <c r="M78" s="14">
        <v>51</v>
      </c>
      <c r="N78" s="14">
        <f t="shared" si="15"/>
        <v>9070</v>
      </c>
      <c r="O78" s="14">
        <f t="shared" si="16"/>
        <v>1665</v>
      </c>
      <c r="P78" s="14">
        <f t="shared" si="17"/>
        <v>2835</v>
      </c>
      <c r="Q78" s="14">
        <f t="shared" si="18"/>
        <v>13570</v>
      </c>
      <c r="R78" s="14">
        <f t="shared" si="19"/>
        <v>49316</v>
      </c>
      <c r="S78" s="14">
        <f t="shared" si="20"/>
        <v>8549</v>
      </c>
      <c r="T78" s="14">
        <f t="shared" si="21"/>
        <v>57865</v>
      </c>
      <c r="U78" s="40">
        <f t="shared" si="22"/>
        <v>71435</v>
      </c>
      <c r="V78" s="14">
        <v>71069</v>
      </c>
      <c r="W78" s="14">
        <f t="shared" si="23"/>
        <v>366</v>
      </c>
    </row>
    <row r="79" spans="1:23" x14ac:dyDescent="0.2">
      <c r="A79" s="20" t="s">
        <v>1</v>
      </c>
      <c r="B79" s="21" t="s">
        <v>92</v>
      </c>
      <c r="C79" s="14">
        <v>5253</v>
      </c>
      <c r="D79" s="14">
        <f>'Tulumaks 2021-2024'!O79</f>
        <v>5031889</v>
      </c>
      <c r="E79" s="14">
        <v>328984.6399999992</v>
      </c>
      <c r="F79" s="14">
        <v>557879.51214839704</v>
      </c>
      <c r="G79" s="14">
        <f t="shared" si="12"/>
        <v>5918753.1521483958</v>
      </c>
      <c r="H79" s="14">
        <f t="shared" si="13"/>
        <v>1126.7377026743568</v>
      </c>
      <c r="I79" s="38">
        <f t="shared" si="14"/>
        <v>0.83172679401415117</v>
      </c>
      <c r="J79" s="13">
        <v>5</v>
      </c>
      <c r="K79" s="14">
        <v>24</v>
      </c>
      <c r="L79" s="13">
        <v>586</v>
      </c>
      <c r="M79" s="14">
        <v>28</v>
      </c>
      <c r="N79" s="14">
        <f t="shared" si="15"/>
        <v>12031</v>
      </c>
      <c r="O79" s="14">
        <f t="shared" si="16"/>
        <v>1778</v>
      </c>
      <c r="P79" s="14">
        <f t="shared" si="17"/>
        <v>1548</v>
      </c>
      <c r="Q79" s="14">
        <f t="shared" si="18"/>
        <v>15357</v>
      </c>
      <c r="R79" s="14">
        <f t="shared" si="19"/>
        <v>55657</v>
      </c>
      <c r="S79" s="14">
        <f t="shared" si="20"/>
        <v>4936</v>
      </c>
      <c r="T79" s="14">
        <f t="shared" si="21"/>
        <v>60593</v>
      </c>
      <c r="U79" s="40">
        <f t="shared" si="22"/>
        <v>75950</v>
      </c>
      <c r="V79" s="14">
        <v>81901</v>
      </c>
      <c r="W79" s="14">
        <f t="shared" si="23"/>
        <v>-5951</v>
      </c>
    </row>
    <row r="80" spans="1:23" x14ac:dyDescent="0.2">
      <c r="A80" s="20" t="s">
        <v>1</v>
      </c>
      <c r="B80" s="21" t="s">
        <v>230</v>
      </c>
      <c r="C80" s="14">
        <v>3197</v>
      </c>
      <c r="D80" s="14">
        <f>'Tulumaks 2021-2024'!O80</f>
        <v>2871315</v>
      </c>
      <c r="E80" s="14">
        <v>182766.7999999997</v>
      </c>
      <c r="F80" s="14">
        <v>588699</v>
      </c>
      <c r="G80" s="14">
        <f t="shared" si="12"/>
        <v>3642780.8</v>
      </c>
      <c r="H80" s="14">
        <f t="shared" si="13"/>
        <v>1139.4372223959963</v>
      </c>
      <c r="I80" s="38">
        <f t="shared" si="14"/>
        <v>0.84110123031687556</v>
      </c>
      <c r="J80" s="13">
        <v>4.99</v>
      </c>
      <c r="K80" s="14">
        <v>41</v>
      </c>
      <c r="L80" s="13">
        <v>335</v>
      </c>
      <c r="M80" s="14">
        <v>12</v>
      </c>
      <c r="N80" s="14">
        <f t="shared" si="15"/>
        <v>20323</v>
      </c>
      <c r="O80" s="14">
        <f t="shared" si="16"/>
        <v>1005</v>
      </c>
      <c r="P80" s="14">
        <f t="shared" si="17"/>
        <v>656</v>
      </c>
      <c r="Q80" s="14">
        <f t="shared" si="18"/>
        <v>21984</v>
      </c>
      <c r="R80" s="14">
        <f t="shared" si="19"/>
        <v>31400</v>
      </c>
      <c r="S80" s="14">
        <f t="shared" si="20"/>
        <v>2087</v>
      </c>
      <c r="T80" s="14">
        <f t="shared" si="21"/>
        <v>33487</v>
      </c>
      <c r="U80" s="40">
        <f t="shared" si="22"/>
        <v>55471</v>
      </c>
      <c r="V80" s="14">
        <v>52574</v>
      </c>
      <c r="W80" s="14">
        <f t="shared" si="23"/>
        <v>2897</v>
      </c>
    </row>
    <row r="81" spans="1:23" x14ac:dyDescent="0.2">
      <c r="A81" s="20" t="s">
        <v>1</v>
      </c>
      <c r="B81" s="21" t="s">
        <v>91</v>
      </c>
      <c r="C81" s="14">
        <v>10695</v>
      </c>
      <c r="D81" s="14">
        <f>'Tulumaks 2021-2024'!O81</f>
        <v>10021448</v>
      </c>
      <c r="E81" s="14">
        <v>372525.7700000006</v>
      </c>
      <c r="F81" s="14">
        <v>2467334</v>
      </c>
      <c r="G81" s="14">
        <f t="shared" si="12"/>
        <v>12861307.770000001</v>
      </c>
      <c r="H81" s="14">
        <f t="shared" si="13"/>
        <v>1202.5533211781208</v>
      </c>
      <c r="I81" s="38">
        <f t="shared" si="14"/>
        <v>0.88769179914770191</v>
      </c>
      <c r="J81" s="13">
        <v>4.87</v>
      </c>
      <c r="K81" s="14">
        <v>67</v>
      </c>
      <c r="L81" s="13">
        <v>1573</v>
      </c>
      <c r="M81" s="14">
        <v>106</v>
      </c>
      <c r="N81" s="14">
        <f t="shared" si="15"/>
        <v>31468</v>
      </c>
      <c r="O81" s="14">
        <f t="shared" si="16"/>
        <v>4471</v>
      </c>
      <c r="P81" s="14">
        <f t="shared" si="17"/>
        <v>5491</v>
      </c>
      <c r="Q81" s="14">
        <f t="shared" si="18"/>
        <v>41430</v>
      </c>
      <c r="R81" s="14">
        <f t="shared" si="19"/>
        <v>136342</v>
      </c>
      <c r="S81" s="14">
        <f t="shared" si="20"/>
        <v>17051</v>
      </c>
      <c r="T81" s="14">
        <f t="shared" si="21"/>
        <v>153393</v>
      </c>
      <c r="U81" s="40">
        <f t="shared" si="22"/>
        <v>194823</v>
      </c>
      <c r="V81" s="14">
        <v>189942</v>
      </c>
      <c r="W81" s="14">
        <f t="shared" si="23"/>
        <v>4881</v>
      </c>
    </row>
    <row r="82" spans="1:23" x14ac:dyDescent="0.2">
      <c r="A82" s="20" t="s">
        <v>1</v>
      </c>
      <c r="B82" s="21" t="s">
        <v>0</v>
      </c>
      <c r="C82" s="14">
        <v>11532</v>
      </c>
      <c r="D82" s="14">
        <f>'Tulumaks 2021-2024'!O82</f>
        <v>10636868</v>
      </c>
      <c r="E82" s="14">
        <v>104990.89</v>
      </c>
      <c r="F82" s="14">
        <v>2186764</v>
      </c>
      <c r="G82" s="14">
        <f t="shared" si="12"/>
        <v>12928622.890000001</v>
      </c>
      <c r="H82" s="14">
        <f t="shared" si="13"/>
        <v>1121.1084712105446</v>
      </c>
      <c r="I82" s="38">
        <f t="shared" si="14"/>
        <v>0.82757145011552491</v>
      </c>
      <c r="J82" s="13">
        <v>0</v>
      </c>
      <c r="K82" s="14">
        <v>152</v>
      </c>
      <c r="L82" s="13">
        <v>1579</v>
      </c>
      <c r="M82" s="14">
        <v>105</v>
      </c>
      <c r="N82" s="14">
        <f t="shared" si="15"/>
        <v>76577</v>
      </c>
      <c r="O82" s="14">
        <f t="shared" si="16"/>
        <v>4814</v>
      </c>
      <c r="P82" s="14">
        <f t="shared" si="17"/>
        <v>5834</v>
      </c>
      <c r="Q82" s="14">
        <f t="shared" si="18"/>
        <v>87225</v>
      </c>
      <c r="R82" s="14">
        <f t="shared" si="19"/>
        <v>0</v>
      </c>
      <c r="S82" s="14">
        <f t="shared" si="20"/>
        <v>0</v>
      </c>
      <c r="T82" s="14">
        <f t="shared" si="21"/>
        <v>0</v>
      </c>
      <c r="U82" s="40">
        <f t="shared" si="22"/>
        <v>87225</v>
      </c>
      <c r="V82" s="14">
        <v>79795</v>
      </c>
      <c r="W82" s="14">
        <f t="shared" si="23"/>
        <v>7430</v>
      </c>
    </row>
    <row r="83" spans="1:23" x14ac:dyDescent="0.2">
      <c r="A83" s="209" t="s">
        <v>149</v>
      </c>
      <c r="B83" s="209"/>
      <c r="C83" s="37">
        <f>SUM(C4:C82)</f>
        <v>1368917</v>
      </c>
      <c r="D83" s="37">
        <f t="shared" ref="D83:W83" si="24">SUM(D4:D82)</f>
        <v>1688520925</v>
      </c>
      <c r="E83" s="37">
        <f t="shared" si="24"/>
        <v>59779853.66000092</v>
      </c>
      <c r="F83" s="37">
        <f t="shared" si="24"/>
        <v>106166826.36659543</v>
      </c>
      <c r="G83" s="37">
        <f t="shared" si="24"/>
        <v>1854467605.0265968</v>
      </c>
      <c r="H83" s="25">
        <f t="shared" si="13"/>
        <v>1354.6968917959209</v>
      </c>
      <c r="I83" s="39">
        <f t="shared" si="14"/>
        <v>1</v>
      </c>
      <c r="J83" s="37"/>
      <c r="K83" s="37">
        <f t="shared" si="24"/>
        <v>9331</v>
      </c>
      <c r="L83" s="37">
        <f t="shared" si="24"/>
        <v>200772</v>
      </c>
      <c r="M83" s="37">
        <f t="shared" si="24"/>
        <v>10663</v>
      </c>
      <c r="N83" s="37">
        <f t="shared" si="24"/>
        <v>4100000</v>
      </c>
      <c r="O83" s="37">
        <f t="shared" si="24"/>
        <v>512500</v>
      </c>
      <c r="P83" s="37">
        <f t="shared" si="24"/>
        <v>512500</v>
      </c>
      <c r="Q83" s="37">
        <f t="shared" si="24"/>
        <v>5125000</v>
      </c>
      <c r="R83" s="37">
        <f t="shared" si="24"/>
        <v>4612500</v>
      </c>
      <c r="S83" s="37">
        <f t="shared" si="24"/>
        <v>512500</v>
      </c>
      <c r="T83" s="37">
        <f t="shared" si="24"/>
        <v>5125000</v>
      </c>
      <c r="U83" s="37">
        <f t="shared" si="24"/>
        <v>10250000</v>
      </c>
      <c r="V83" s="37">
        <f t="shared" si="24"/>
        <v>10250000</v>
      </c>
      <c r="W83" s="37">
        <f t="shared" si="24"/>
        <v>0</v>
      </c>
    </row>
    <row r="84" spans="1:23" x14ac:dyDescent="0.2">
      <c r="N84" s="2">
        <f>$Q84*N3</f>
        <v>4100000</v>
      </c>
      <c r="O84" s="2">
        <f>$Q84*O3</f>
        <v>512500</v>
      </c>
      <c r="P84" s="2">
        <f>$Q84*P3</f>
        <v>512500</v>
      </c>
      <c r="Q84" s="2">
        <f>U84*Q3</f>
        <v>5125000</v>
      </c>
      <c r="R84" s="2">
        <f>$T84*R3</f>
        <v>4612500</v>
      </c>
      <c r="S84" s="2">
        <f>$T84*S3</f>
        <v>512500</v>
      </c>
      <c r="T84" s="2">
        <f>U84*T3</f>
        <v>5125000</v>
      </c>
      <c r="U84" s="2">
        <v>10250000</v>
      </c>
    </row>
    <row r="85" spans="1:23" x14ac:dyDescent="0.2">
      <c r="N85" s="15">
        <f>N84-N83</f>
        <v>0</v>
      </c>
      <c r="O85" s="15">
        <f t="shared" ref="O85:U85" si="25">O84-O83</f>
        <v>0</v>
      </c>
      <c r="P85" s="15">
        <f t="shared" si="25"/>
        <v>0</v>
      </c>
      <c r="Q85" s="15">
        <f t="shared" si="25"/>
        <v>0</v>
      </c>
      <c r="R85" s="15">
        <f t="shared" si="25"/>
        <v>0</v>
      </c>
      <c r="S85" s="15">
        <f t="shared" si="25"/>
        <v>0</v>
      </c>
      <c r="T85" s="15">
        <f t="shared" si="25"/>
        <v>0</v>
      </c>
      <c r="U85" s="15">
        <f t="shared" si="25"/>
        <v>0</v>
      </c>
    </row>
    <row r="86" spans="1:23" x14ac:dyDescent="0.2">
      <c r="N86" s="82">
        <v>416.924915</v>
      </c>
      <c r="O86" s="82">
        <v>2.5232565</v>
      </c>
      <c r="P86" s="82">
        <v>45.984529999999999</v>
      </c>
      <c r="R86">
        <v>15.79918</v>
      </c>
      <c r="S86">
        <v>29.3215</v>
      </c>
    </row>
    <row r="88" spans="1:23" x14ac:dyDescent="0.2">
      <c r="N88" s="2"/>
      <c r="O88" s="2"/>
      <c r="P88" s="41" t="s">
        <v>211</v>
      </c>
      <c r="Q88">
        <f>COUNTIF(Q4:Q82,"=0")</f>
        <v>0</v>
      </c>
      <c r="R88" s="2"/>
      <c r="S88" s="2"/>
      <c r="T88">
        <f>COUNTIF(T4:T82,"=0")</f>
        <v>8</v>
      </c>
      <c r="U88">
        <f>COUNTIF(U4:U82,"=0")</f>
        <v>0</v>
      </c>
    </row>
  </sheetData>
  <mergeCells count="15">
    <mergeCell ref="V1:V3"/>
    <mergeCell ref="W1:W3"/>
    <mergeCell ref="K1:K3"/>
    <mergeCell ref="L1:L3"/>
    <mergeCell ref="M1:M3"/>
    <mergeCell ref="N1:Q1"/>
    <mergeCell ref="R1:T1"/>
    <mergeCell ref="A1:A3"/>
    <mergeCell ref="B1:B3"/>
    <mergeCell ref="A83:B83"/>
    <mergeCell ref="C1:I1"/>
    <mergeCell ref="U1:U3"/>
    <mergeCell ref="C2:C3"/>
    <mergeCell ref="D2:I2"/>
    <mergeCell ref="J1:J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7"/>
  <sheetViews>
    <sheetView workbookViewId="0">
      <pane xSplit="2" ySplit="3" topLeftCell="C55" activePane="bottomRight" state="frozen"/>
      <selection pane="topRight" activeCell="D1" sqref="D1"/>
      <selection pane="bottomLeft" activeCell="A4" sqref="A4"/>
      <selection pane="bottomRight" activeCell="H89" sqref="H89"/>
    </sheetView>
  </sheetViews>
  <sheetFormatPr defaultRowHeight="12.75" x14ac:dyDescent="0.2"/>
  <cols>
    <col min="1" max="1" width="9.5703125" style="19" bestFit="1" customWidth="1"/>
    <col min="2" max="2" width="19.42578125" style="19" bestFit="1" customWidth="1"/>
    <col min="3" max="3" width="22" customWidth="1"/>
    <col min="4" max="4" width="18.42578125" customWidth="1"/>
    <col min="5" max="5" width="9" customWidth="1"/>
    <col min="6" max="6" width="11.7109375" customWidth="1"/>
    <col min="7" max="7" width="10.28515625" customWidth="1"/>
    <col min="8" max="8" width="10" customWidth="1"/>
    <col min="9" max="9" width="9.28515625" bestFit="1" customWidth="1"/>
    <col min="10" max="10" width="11" customWidth="1"/>
    <col min="11" max="11" width="9.140625" style="340"/>
  </cols>
  <sheetData>
    <row r="1" spans="1:11" x14ac:dyDescent="0.2">
      <c r="A1" s="189" t="s">
        <v>148</v>
      </c>
      <c r="B1" s="189" t="s">
        <v>147</v>
      </c>
      <c r="C1" s="193" t="s">
        <v>314</v>
      </c>
      <c r="D1" s="193" t="s">
        <v>393</v>
      </c>
      <c r="E1" s="218" t="s">
        <v>394</v>
      </c>
      <c r="F1" s="218"/>
      <c r="G1" s="218"/>
      <c r="H1" s="219" t="s">
        <v>368</v>
      </c>
      <c r="I1" s="219" t="s">
        <v>166</v>
      </c>
      <c r="K1" s="340" t="s">
        <v>181</v>
      </c>
    </row>
    <row r="2" spans="1:11" x14ac:dyDescent="0.2">
      <c r="A2" s="189"/>
      <c r="B2" s="189"/>
      <c r="C2" s="220"/>
      <c r="D2" s="220"/>
      <c r="E2" s="222" t="s">
        <v>315</v>
      </c>
      <c r="F2" s="222" t="s">
        <v>212</v>
      </c>
      <c r="G2" s="222" t="s">
        <v>149</v>
      </c>
      <c r="H2" s="219"/>
      <c r="I2" s="219"/>
      <c r="K2" s="340" t="s">
        <v>338</v>
      </c>
    </row>
    <row r="3" spans="1:11" ht="25.5" customHeight="1" x14ac:dyDescent="0.2">
      <c r="A3" s="189"/>
      <c r="B3" s="189"/>
      <c r="C3" s="221"/>
      <c r="D3" s="221"/>
      <c r="E3" s="222"/>
      <c r="F3" s="222"/>
      <c r="G3" s="222"/>
      <c r="H3" s="219"/>
      <c r="I3" s="219"/>
    </row>
    <row r="4" spans="1:11" x14ac:dyDescent="0.2">
      <c r="A4" s="20" t="s">
        <v>69</v>
      </c>
      <c r="B4" s="21" t="s">
        <v>138</v>
      </c>
      <c r="C4" s="170" t="s">
        <v>181</v>
      </c>
      <c r="D4" s="14">
        <v>345</v>
      </c>
      <c r="E4" s="14">
        <f>IF($C4="jah",K4,0)</f>
        <v>84387</v>
      </c>
      <c r="F4" s="14">
        <f>IF($C4="jah",D4*F$86,0)</f>
        <v>34427.998500000002</v>
      </c>
      <c r="G4" s="14">
        <f>ROUND(E4+F4,0)</f>
        <v>118815</v>
      </c>
      <c r="H4" s="14">
        <v>111571</v>
      </c>
      <c r="I4" s="14">
        <f>G4-H4</f>
        <v>7244</v>
      </c>
      <c r="K4" s="340">
        <v>84387</v>
      </c>
    </row>
    <row r="5" spans="1:11" x14ac:dyDescent="0.2">
      <c r="A5" s="20" t="s">
        <v>69</v>
      </c>
      <c r="B5" s="21" t="s">
        <v>137</v>
      </c>
      <c r="C5" s="170" t="s">
        <v>181</v>
      </c>
      <c r="D5" s="14">
        <v>1205</v>
      </c>
      <c r="E5" s="14">
        <f t="shared" ref="E5:E68" si="0">IF($C5="jah",K5,0)</f>
        <v>0</v>
      </c>
      <c r="F5" s="14">
        <f t="shared" ref="F5:F68" si="1">IF($C5="jah",D5*F$86,0)</f>
        <v>120248.51650000001</v>
      </c>
      <c r="G5" s="14">
        <f t="shared" ref="G5:G68" si="2">ROUND(E5+F5,0)</f>
        <v>120249</v>
      </c>
      <c r="H5" s="14">
        <v>96073</v>
      </c>
      <c r="I5" s="14">
        <f>G5-H5</f>
        <v>24176</v>
      </c>
      <c r="K5" s="340">
        <v>0</v>
      </c>
    </row>
    <row r="6" spans="1:11" x14ac:dyDescent="0.2">
      <c r="A6" s="20" t="s">
        <v>69</v>
      </c>
      <c r="B6" s="21" t="s">
        <v>136</v>
      </c>
      <c r="C6" s="170" t="s">
        <v>181</v>
      </c>
      <c r="D6" s="14">
        <v>470</v>
      </c>
      <c r="E6" s="14">
        <f t="shared" si="0"/>
        <v>31903</v>
      </c>
      <c r="F6" s="14">
        <f t="shared" si="1"/>
        <v>46901.911</v>
      </c>
      <c r="G6" s="14">
        <f t="shared" si="2"/>
        <v>78805</v>
      </c>
      <c r="H6" s="14">
        <v>70315</v>
      </c>
      <c r="I6" s="14">
        <f t="shared" ref="I6:I69" si="3">G6-H6</f>
        <v>8490</v>
      </c>
      <c r="K6" s="340">
        <v>31903</v>
      </c>
    </row>
    <row r="7" spans="1:11" x14ac:dyDescent="0.2">
      <c r="A7" s="20" t="s">
        <v>69</v>
      </c>
      <c r="B7" s="21" t="s">
        <v>81</v>
      </c>
      <c r="C7" s="170" t="s">
        <v>181</v>
      </c>
      <c r="D7" s="14">
        <v>713</v>
      </c>
      <c r="E7" s="14">
        <f t="shared" si="0"/>
        <v>56480</v>
      </c>
      <c r="F7" s="14">
        <f t="shared" si="1"/>
        <v>71151.19690000001</v>
      </c>
      <c r="G7" s="14">
        <f t="shared" si="2"/>
        <v>127631</v>
      </c>
      <c r="H7" s="14">
        <v>117771</v>
      </c>
      <c r="I7" s="14">
        <f t="shared" si="3"/>
        <v>9860</v>
      </c>
      <c r="K7" s="340">
        <v>56480</v>
      </c>
    </row>
    <row r="8" spans="1:11" x14ac:dyDescent="0.2">
      <c r="A8" s="20" t="s">
        <v>69</v>
      </c>
      <c r="B8" s="21" t="s">
        <v>135</v>
      </c>
      <c r="C8" s="170" t="s">
        <v>181</v>
      </c>
      <c r="D8" s="14">
        <v>412</v>
      </c>
      <c r="E8" s="14">
        <f t="shared" si="0"/>
        <v>22812</v>
      </c>
      <c r="F8" s="14">
        <f t="shared" si="1"/>
        <v>41114.015600000006</v>
      </c>
      <c r="G8" s="14">
        <f t="shared" si="2"/>
        <v>63926</v>
      </c>
      <c r="H8" s="14">
        <v>57932</v>
      </c>
      <c r="I8" s="14">
        <f t="shared" si="3"/>
        <v>5994</v>
      </c>
      <c r="K8" s="340">
        <v>22812</v>
      </c>
    </row>
    <row r="9" spans="1:11" x14ac:dyDescent="0.2">
      <c r="A9" s="20" t="s">
        <v>69</v>
      </c>
      <c r="B9" s="21" t="s">
        <v>134</v>
      </c>
      <c r="C9" s="170" t="s">
        <v>181</v>
      </c>
      <c r="D9" s="14">
        <v>589</v>
      </c>
      <c r="E9" s="14">
        <f t="shared" si="0"/>
        <v>104524</v>
      </c>
      <c r="F9" s="14">
        <f t="shared" si="1"/>
        <v>58777.075700000001</v>
      </c>
      <c r="G9" s="14">
        <f t="shared" si="2"/>
        <v>163301</v>
      </c>
      <c r="H9" s="14">
        <v>151632</v>
      </c>
      <c r="I9" s="14">
        <f t="shared" si="3"/>
        <v>11669</v>
      </c>
      <c r="K9" s="340">
        <v>104524</v>
      </c>
    </row>
    <row r="10" spans="1:11" x14ac:dyDescent="0.2">
      <c r="A10" s="20" t="s">
        <v>69</v>
      </c>
      <c r="B10" s="21" t="s">
        <v>133</v>
      </c>
      <c r="C10" s="170" t="s">
        <v>181</v>
      </c>
      <c r="D10" s="14">
        <v>384</v>
      </c>
      <c r="E10" s="14">
        <f t="shared" si="0"/>
        <v>0</v>
      </c>
      <c r="F10" s="14">
        <f t="shared" si="1"/>
        <v>38319.859200000006</v>
      </c>
      <c r="G10" s="14">
        <f t="shared" si="2"/>
        <v>38320</v>
      </c>
      <c r="H10" s="14">
        <v>31321</v>
      </c>
      <c r="I10" s="14">
        <f t="shared" si="3"/>
        <v>6999</v>
      </c>
      <c r="K10" s="340">
        <v>0</v>
      </c>
    </row>
    <row r="11" spans="1:11" x14ac:dyDescent="0.2">
      <c r="A11" s="20" t="s">
        <v>69</v>
      </c>
      <c r="B11" s="21" t="s">
        <v>83</v>
      </c>
      <c r="C11" s="170" t="s">
        <v>181</v>
      </c>
      <c r="D11" s="14">
        <v>52</v>
      </c>
      <c r="E11" s="14">
        <f t="shared" si="0"/>
        <v>41793</v>
      </c>
      <c r="F11" s="14">
        <f t="shared" si="1"/>
        <v>5189.1476000000002</v>
      </c>
      <c r="G11" s="14">
        <f t="shared" si="2"/>
        <v>46982</v>
      </c>
      <c r="H11" s="14">
        <v>46690</v>
      </c>
      <c r="I11" s="14">
        <f t="shared" si="3"/>
        <v>292</v>
      </c>
      <c r="K11" s="340">
        <v>41793</v>
      </c>
    </row>
    <row r="12" spans="1:11" x14ac:dyDescent="0.2">
      <c r="A12" s="20" t="s">
        <v>69</v>
      </c>
      <c r="B12" s="21" t="s">
        <v>231</v>
      </c>
      <c r="C12" s="170" t="s">
        <v>181</v>
      </c>
      <c r="D12" s="14">
        <v>676</v>
      </c>
      <c r="E12" s="14">
        <f t="shared" si="0"/>
        <v>124413</v>
      </c>
      <c r="F12" s="14">
        <f t="shared" si="1"/>
        <v>67458.918799999999</v>
      </c>
      <c r="G12" s="14">
        <f t="shared" si="2"/>
        <v>191872</v>
      </c>
      <c r="H12" s="14">
        <v>181061</v>
      </c>
      <c r="I12" s="14">
        <f t="shared" si="3"/>
        <v>10811</v>
      </c>
      <c r="K12" s="340">
        <v>124413</v>
      </c>
    </row>
    <row r="13" spans="1:11" x14ac:dyDescent="0.2">
      <c r="A13" s="20" t="s">
        <v>69</v>
      </c>
      <c r="B13" s="21" t="s">
        <v>68</v>
      </c>
      <c r="C13" s="170" t="s">
        <v>181</v>
      </c>
      <c r="D13" s="14">
        <v>705</v>
      </c>
      <c r="E13" s="14">
        <f t="shared" si="0"/>
        <v>139610</v>
      </c>
      <c r="F13" s="14">
        <f t="shared" si="1"/>
        <v>70352.866500000004</v>
      </c>
      <c r="G13" s="14">
        <f t="shared" si="2"/>
        <v>209963</v>
      </c>
      <c r="H13" s="14">
        <v>201830</v>
      </c>
      <c r="I13" s="14">
        <f t="shared" si="3"/>
        <v>8133</v>
      </c>
      <c r="K13" s="340">
        <v>139610</v>
      </c>
    </row>
    <row r="14" spans="1:11" x14ac:dyDescent="0.2">
      <c r="A14" s="20" t="s">
        <v>69</v>
      </c>
      <c r="B14" s="21" t="s">
        <v>132</v>
      </c>
      <c r="C14" s="170" t="s">
        <v>181</v>
      </c>
      <c r="D14" s="14">
        <v>390</v>
      </c>
      <c r="E14" s="14">
        <f t="shared" si="0"/>
        <v>73448</v>
      </c>
      <c r="F14" s="14">
        <f t="shared" si="1"/>
        <v>38918.607000000004</v>
      </c>
      <c r="G14" s="14">
        <f t="shared" si="2"/>
        <v>112367</v>
      </c>
      <c r="H14" s="14">
        <v>106120</v>
      </c>
      <c r="I14" s="14">
        <f t="shared" si="3"/>
        <v>6247</v>
      </c>
      <c r="K14" s="340">
        <v>73448</v>
      </c>
    </row>
    <row r="15" spans="1:11" x14ac:dyDescent="0.2">
      <c r="A15" s="20" t="s">
        <v>69</v>
      </c>
      <c r="B15" s="21" t="s">
        <v>131</v>
      </c>
      <c r="C15" s="170" t="s">
        <v>181</v>
      </c>
      <c r="D15" s="14">
        <v>2093</v>
      </c>
      <c r="E15" s="14">
        <f t="shared" si="0"/>
        <v>33303</v>
      </c>
      <c r="F15" s="14">
        <f t="shared" si="1"/>
        <v>208863.19090000002</v>
      </c>
      <c r="G15" s="14">
        <f t="shared" si="2"/>
        <v>242166</v>
      </c>
      <c r="H15" s="14">
        <v>212027</v>
      </c>
      <c r="I15" s="14">
        <f t="shared" si="3"/>
        <v>30139</v>
      </c>
      <c r="K15" s="340">
        <v>33303</v>
      </c>
    </row>
    <row r="16" spans="1:11" x14ac:dyDescent="0.2">
      <c r="A16" s="20" t="s">
        <v>69</v>
      </c>
      <c r="B16" s="21" t="s">
        <v>130</v>
      </c>
      <c r="C16" s="170" t="s">
        <v>181</v>
      </c>
      <c r="D16" s="14">
        <v>839</v>
      </c>
      <c r="E16" s="14">
        <f t="shared" si="0"/>
        <v>0</v>
      </c>
      <c r="F16" s="14">
        <f t="shared" si="1"/>
        <v>83724.900700000013</v>
      </c>
      <c r="G16" s="14">
        <f t="shared" si="2"/>
        <v>83725</v>
      </c>
      <c r="H16" s="14">
        <v>70493</v>
      </c>
      <c r="I16" s="14">
        <f t="shared" si="3"/>
        <v>13232</v>
      </c>
      <c r="K16" s="340">
        <v>0</v>
      </c>
    </row>
    <row r="17" spans="1:11" x14ac:dyDescent="0.2">
      <c r="A17" s="20" t="s">
        <v>69</v>
      </c>
      <c r="B17" s="21" t="s">
        <v>129</v>
      </c>
      <c r="C17" s="170" t="s">
        <v>181</v>
      </c>
      <c r="D17" s="14">
        <v>1697</v>
      </c>
      <c r="E17" s="14">
        <f t="shared" si="0"/>
        <v>29596</v>
      </c>
      <c r="F17" s="14">
        <f t="shared" si="1"/>
        <v>169345.83610000001</v>
      </c>
      <c r="G17" s="14">
        <f t="shared" si="2"/>
        <v>198942</v>
      </c>
      <c r="H17" s="14">
        <v>168978</v>
      </c>
      <c r="I17" s="14">
        <f t="shared" si="3"/>
        <v>29964</v>
      </c>
      <c r="K17" s="340">
        <v>29596</v>
      </c>
    </row>
    <row r="18" spans="1:11" x14ac:dyDescent="0.2">
      <c r="A18" s="20" t="s">
        <v>69</v>
      </c>
      <c r="B18" s="22" t="s">
        <v>213</v>
      </c>
      <c r="C18" s="170" t="s">
        <v>181</v>
      </c>
      <c r="D18" s="14">
        <v>20834</v>
      </c>
      <c r="E18" s="14">
        <f t="shared" si="0"/>
        <v>480841</v>
      </c>
      <c r="F18" s="14">
        <f t="shared" si="1"/>
        <v>2079051.9442</v>
      </c>
      <c r="G18" s="14">
        <f t="shared" si="2"/>
        <v>2559893</v>
      </c>
      <c r="H18" s="14">
        <v>2275928</v>
      </c>
      <c r="I18" s="14">
        <f t="shared" si="3"/>
        <v>283965</v>
      </c>
      <c r="K18" s="340">
        <v>480841</v>
      </c>
    </row>
    <row r="19" spans="1:11" x14ac:dyDescent="0.2">
      <c r="A19" s="20" t="s">
        <v>69</v>
      </c>
      <c r="B19" s="21" t="s">
        <v>128</v>
      </c>
      <c r="C19" s="170" t="s">
        <v>181</v>
      </c>
      <c r="D19" s="14">
        <v>1424</v>
      </c>
      <c r="E19" s="14">
        <f t="shared" si="0"/>
        <v>54994</v>
      </c>
      <c r="F19" s="14">
        <f t="shared" si="1"/>
        <v>142102.8112</v>
      </c>
      <c r="G19" s="14">
        <f t="shared" si="2"/>
        <v>197097</v>
      </c>
      <c r="H19" s="14">
        <v>179434</v>
      </c>
      <c r="I19" s="14">
        <f t="shared" si="3"/>
        <v>17663</v>
      </c>
      <c r="K19" s="340">
        <v>54994</v>
      </c>
    </row>
    <row r="20" spans="1:11" x14ac:dyDescent="0.2">
      <c r="A20" s="20" t="s">
        <v>67</v>
      </c>
      <c r="B20" s="21" t="s">
        <v>217</v>
      </c>
      <c r="C20" s="170" t="s">
        <v>181</v>
      </c>
      <c r="D20" s="14">
        <v>346</v>
      </c>
      <c r="E20" s="14">
        <f t="shared" si="0"/>
        <v>73842</v>
      </c>
      <c r="F20" s="14">
        <f t="shared" si="1"/>
        <v>34527.789800000006</v>
      </c>
      <c r="G20" s="14">
        <f t="shared" si="2"/>
        <v>108370</v>
      </c>
      <c r="H20" s="14">
        <v>100520</v>
      </c>
      <c r="I20" s="14">
        <f t="shared" si="3"/>
        <v>7850</v>
      </c>
      <c r="K20" s="340">
        <v>73842</v>
      </c>
    </row>
    <row r="21" spans="1:11" x14ac:dyDescent="0.2">
      <c r="A21" s="20" t="s">
        <v>58</v>
      </c>
      <c r="B21" s="21" t="s">
        <v>218</v>
      </c>
      <c r="C21" s="170" t="s">
        <v>181</v>
      </c>
      <c r="D21" s="14">
        <v>157</v>
      </c>
      <c r="E21" s="14">
        <f t="shared" si="0"/>
        <v>42250</v>
      </c>
      <c r="F21" s="14">
        <f t="shared" si="1"/>
        <v>15667.234100000001</v>
      </c>
      <c r="G21" s="14">
        <f t="shared" si="2"/>
        <v>57917</v>
      </c>
      <c r="H21" s="14">
        <v>58459</v>
      </c>
      <c r="I21" s="14">
        <f t="shared" si="3"/>
        <v>-542</v>
      </c>
      <c r="K21" s="340">
        <v>42250</v>
      </c>
    </row>
    <row r="22" spans="1:11" x14ac:dyDescent="0.2">
      <c r="A22" s="20" t="s">
        <v>58</v>
      </c>
      <c r="B22" s="21" t="s">
        <v>127</v>
      </c>
      <c r="C22" s="170" t="s">
        <v>181</v>
      </c>
      <c r="D22" s="14">
        <v>565</v>
      </c>
      <c r="E22" s="14">
        <f t="shared" si="0"/>
        <v>155313</v>
      </c>
      <c r="F22" s="14">
        <f t="shared" si="1"/>
        <v>56382.084500000004</v>
      </c>
      <c r="G22" s="14">
        <f t="shared" si="2"/>
        <v>211695</v>
      </c>
      <c r="H22" s="14">
        <v>201070</v>
      </c>
      <c r="I22" s="14">
        <f t="shared" si="3"/>
        <v>10625</v>
      </c>
      <c r="K22" s="340">
        <v>155313</v>
      </c>
    </row>
    <row r="23" spans="1:11" x14ac:dyDescent="0.2">
      <c r="A23" s="20" t="s">
        <v>58</v>
      </c>
      <c r="B23" s="21" t="s">
        <v>57</v>
      </c>
      <c r="C23" s="170" t="s">
        <v>181</v>
      </c>
      <c r="D23" s="14">
        <v>1192</v>
      </c>
      <c r="E23" s="14">
        <f t="shared" si="0"/>
        <v>817774</v>
      </c>
      <c r="F23" s="14">
        <f t="shared" si="1"/>
        <v>118951.22960000001</v>
      </c>
      <c r="G23" s="14">
        <f t="shared" si="2"/>
        <v>936725</v>
      </c>
      <c r="H23" s="14">
        <v>926511</v>
      </c>
      <c r="I23" s="14">
        <f t="shared" si="3"/>
        <v>10214</v>
      </c>
      <c r="K23" s="340">
        <v>817774</v>
      </c>
    </row>
    <row r="24" spans="1:11" x14ac:dyDescent="0.2">
      <c r="A24" s="20" t="s">
        <v>58</v>
      </c>
      <c r="B24" s="21" t="s">
        <v>126</v>
      </c>
      <c r="C24" s="170" t="s">
        <v>181</v>
      </c>
      <c r="D24" s="14">
        <v>266</v>
      </c>
      <c r="E24" s="14">
        <f t="shared" si="0"/>
        <v>97536</v>
      </c>
      <c r="F24" s="14">
        <f t="shared" si="1"/>
        <v>26544.485800000002</v>
      </c>
      <c r="G24" s="14">
        <f t="shared" si="2"/>
        <v>124080</v>
      </c>
      <c r="H24" s="14">
        <v>122694</v>
      </c>
      <c r="I24" s="14">
        <f t="shared" si="3"/>
        <v>1386</v>
      </c>
      <c r="K24" s="340">
        <v>97536</v>
      </c>
    </row>
    <row r="25" spans="1:11" x14ac:dyDescent="0.2">
      <c r="A25" s="20" t="s">
        <v>58</v>
      </c>
      <c r="B25" s="21" t="s">
        <v>59</v>
      </c>
      <c r="C25" s="170" t="s">
        <v>181</v>
      </c>
      <c r="D25" s="14">
        <v>1960</v>
      </c>
      <c r="E25" s="14">
        <f t="shared" si="0"/>
        <v>898436</v>
      </c>
      <c r="F25" s="14">
        <f t="shared" si="1"/>
        <v>195590.948</v>
      </c>
      <c r="G25" s="14">
        <f t="shared" si="2"/>
        <v>1094027</v>
      </c>
      <c r="H25" s="14">
        <v>1078510</v>
      </c>
      <c r="I25" s="14">
        <f t="shared" si="3"/>
        <v>15517</v>
      </c>
      <c r="K25" s="340">
        <v>898436</v>
      </c>
    </row>
    <row r="26" spans="1:11" x14ac:dyDescent="0.2">
      <c r="A26" s="20" t="s">
        <v>58</v>
      </c>
      <c r="B26" s="21" t="s">
        <v>62</v>
      </c>
      <c r="C26" s="170" t="s">
        <v>181</v>
      </c>
      <c r="D26" s="14">
        <v>154</v>
      </c>
      <c r="E26" s="14">
        <f t="shared" si="0"/>
        <v>38502</v>
      </c>
      <c r="F26" s="14">
        <f t="shared" si="1"/>
        <v>15367.860200000001</v>
      </c>
      <c r="G26" s="14">
        <f t="shared" si="2"/>
        <v>53870</v>
      </c>
      <c r="H26" s="14">
        <v>51672</v>
      </c>
      <c r="I26" s="14">
        <f t="shared" si="3"/>
        <v>2198</v>
      </c>
      <c r="K26" s="340">
        <v>38502</v>
      </c>
    </row>
    <row r="27" spans="1:11" x14ac:dyDescent="0.2">
      <c r="A27" s="20" t="s">
        <v>58</v>
      </c>
      <c r="B27" s="21" t="s">
        <v>61</v>
      </c>
      <c r="C27" s="170" t="s">
        <v>181</v>
      </c>
      <c r="D27" s="14">
        <v>386</v>
      </c>
      <c r="E27" s="14">
        <f t="shared" si="0"/>
        <v>191245</v>
      </c>
      <c r="F27" s="14">
        <f t="shared" si="1"/>
        <v>38519.441800000001</v>
      </c>
      <c r="G27" s="14">
        <f t="shared" si="2"/>
        <v>229764</v>
      </c>
      <c r="H27" s="14">
        <v>226618</v>
      </c>
      <c r="I27" s="14">
        <f t="shared" si="3"/>
        <v>3146</v>
      </c>
      <c r="K27" s="340">
        <v>191245</v>
      </c>
    </row>
    <row r="28" spans="1:11" x14ac:dyDescent="0.2">
      <c r="A28" s="20" t="s">
        <v>58</v>
      </c>
      <c r="B28" s="21" t="s">
        <v>64</v>
      </c>
      <c r="C28" s="170" t="s">
        <v>181</v>
      </c>
      <c r="D28" s="14">
        <v>184</v>
      </c>
      <c r="E28" s="14">
        <f t="shared" si="0"/>
        <v>60893</v>
      </c>
      <c r="F28" s="14">
        <f t="shared" si="1"/>
        <v>18361.599200000001</v>
      </c>
      <c r="G28" s="14">
        <f t="shared" si="2"/>
        <v>79255</v>
      </c>
      <c r="H28" s="14">
        <v>77355</v>
      </c>
      <c r="I28" s="14">
        <f t="shared" si="3"/>
        <v>1900</v>
      </c>
      <c r="K28" s="340">
        <v>60893</v>
      </c>
    </row>
    <row r="29" spans="1:11" x14ac:dyDescent="0.2">
      <c r="A29" s="20" t="s">
        <v>55</v>
      </c>
      <c r="B29" s="21" t="s">
        <v>125</v>
      </c>
      <c r="C29" s="170" t="s">
        <v>181</v>
      </c>
      <c r="D29" s="14">
        <v>624</v>
      </c>
      <c r="E29" s="14">
        <f t="shared" si="0"/>
        <v>125625</v>
      </c>
      <c r="F29" s="14">
        <f t="shared" si="1"/>
        <v>62269.771200000003</v>
      </c>
      <c r="G29" s="14">
        <f t="shared" si="2"/>
        <v>187895</v>
      </c>
      <c r="H29" s="14">
        <v>177292</v>
      </c>
      <c r="I29" s="14">
        <f t="shared" si="3"/>
        <v>10603</v>
      </c>
      <c r="K29" s="340">
        <v>125625</v>
      </c>
    </row>
    <row r="30" spans="1:11" x14ac:dyDescent="0.2">
      <c r="A30" s="20" t="s">
        <v>55</v>
      </c>
      <c r="B30" s="21" t="s">
        <v>219</v>
      </c>
      <c r="C30" s="170" t="s">
        <v>181</v>
      </c>
      <c r="D30" s="14">
        <v>161</v>
      </c>
      <c r="E30" s="14">
        <f t="shared" si="0"/>
        <v>70648</v>
      </c>
      <c r="F30" s="14">
        <f t="shared" si="1"/>
        <v>16066.399300000001</v>
      </c>
      <c r="G30" s="14">
        <f t="shared" si="2"/>
        <v>86714</v>
      </c>
      <c r="H30" s="14">
        <v>86097</v>
      </c>
      <c r="I30" s="14">
        <f t="shared" si="3"/>
        <v>617</v>
      </c>
      <c r="K30" s="340">
        <v>70648</v>
      </c>
    </row>
    <row r="31" spans="1:11" x14ac:dyDescent="0.2">
      <c r="A31" s="20" t="s">
        <v>55</v>
      </c>
      <c r="B31" s="21" t="s">
        <v>124</v>
      </c>
      <c r="C31" s="170" t="s">
        <v>181</v>
      </c>
      <c r="D31" s="14">
        <v>467</v>
      </c>
      <c r="E31" s="14">
        <f t="shared" si="0"/>
        <v>90680</v>
      </c>
      <c r="F31" s="14">
        <f t="shared" si="1"/>
        <v>46602.537100000001</v>
      </c>
      <c r="G31" s="14">
        <f t="shared" si="2"/>
        <v>137283</v>
      </c>
      <c r="H31" s="14">
        <v>131541</v>
      </c>
      <c r="I31" s="14">
        <f t="shared" si="3"/>
        <v>5742</v>
      </c>
      <c r="K31" s="340">
        <v>90680</v>
      </c>
    </row>
    <row r="32" spans="1:11" x14ac:dyDescent="0.2">
      <c r="A32" s="20" t="s">
        <v>52</v>
      </c>
      <c r="B32" s="21" t="s">
        <v>220</v>
      </c>
      <c r="C32" s="170" t="s">
        <v>181</v>
      </c>
      <c r="D32" s="14">
        <v>446</v>
      </c>
      <c r="E32" s="14">
        <f t="shared" si="0"/>
        <v>120406</v>
      </c>
      <c r="F32" s="14">
        <f t="shared" si="1"/>
        <v>44506.919800000003</v>
      </c>
      <c r="G32" s="14">
        <f t="shared" si="2"/>
        <v>164913</v>
      </c>
      <c r="H32" s="14">
        <v>159578</v>
      </c>
      <c r="I32" s="14">
        <f t="shared" si="3"/>
        <v>5335</v>
      </c>
      <c r="K32" s="340">
        <v>120406</v>
      </c>
    </row>
    <row r="33" spans="1:11" x14ac:dyDescent="0.2">
      <c r="A33" s="20" t="s">
        <v>52</v>
      </c>
      <c r="B33" s="21" t="s">
        <v>51</v>
      </c>
      <c r="C33" s="170" t="s">
        <v>181</v>
      </c>
      <c r="D33" s="14">
        <v>501</v>
      </c>
      <c r="E33" s="14">
        <f t="shared" si="0"/>
        <v>121160</v>
      </c>
      <c r="F33" s="14">
        <f t="shared" si="1"/>
        <v>49995.441300000006</v>
      </c>
      <c r="G33" s="14">
        <f t="shared" si="2"/>
        <v>171155</v>
      </c>
      <c r="H33" s="14">
        <v>161430</v>
      </c>
      <c r="I33" s="14">
        <f t="shared" si="3"/>
        <v>9725</v>
      </c>
      <c r="K33" s="340">
        <v>121160</v>
      </c>
    </row>
    <row r="34" spans="1:11" x14ac:dyDescent="0.2">
      <c r="A34" s="20" t="s">
        <v>52</v>
      </c>
      <c r="B34" s="21" t="s">
        <v>123</v>
      </c>
      <c r="C34" s="170" t="s">
        <v>181</v>
      </c>
      <c r="D34" s="14">
        <v>493</v>
      </c>
      <c r="E34" s="14">
        <f t="shared" si="0"/>
        <v>87922</v>
      </c>
      <c r="F34" s="14">
        <f t="shared" si="1"/>
        <v>49197.110900000007</v>
      </c>
      <c r="G34" s="14">
        <f t="shared" si="2"/>
        <v>137119</v>
      </c>
      <c r="H34" s="14">
        <v>128445</v>
      </c>
      <c r="I34" s="14">
        <f t="shared" si="3"/>
        <v>8674</v>
      </c>
      <c r="K34" s="340">
        <v>87922</v>
      </c>
    </row>
    <row r="35" spans="1:11" x14ac:dyDescent="0.2">
      <c r="A35" s="20" t="s">
        <v>47</v>
      </c>
      <c r="B35" s="21" t="s">
        <v>48</v>
      </c>
      <c r="C35" s="170" t="s">
        <v>181</v>
      </c>
      <c r="D35" s="14">
        <v>606</v>
      </c>
      <c r="E35" s="14">
        <f t="shared" si="0"/>
        <v>97329</v>
      </c>
      <c r="F35" s="14">
        <f t="shared" si="1"/>
        <v>60473.527800000003</v>
      </c>
      <c r="G35" s="14">
        <f t="shared" si="2"/>
        <v>157803</v>
      </c>
      <c r="H35" s="14">
        <v>148658</v>
      </c>
      <c r="I35" s="14">
        <f t="shared" si="3"/>
        <v>9145</v>
      </c>
      <c r="K35" s="340">
        <v>97329</v>
      </c>
    </row>
    <row r="36" spans="1:11" x14ac:dyDescent="0.2">
      <c r="A36" s="20" t="s">
        <v>47</v>
      </c>
      <c r="B36" s="21" t="s">
        <v>122</v>
      </c>
      <c r="C36" s="170" t="s">
        <v>181</v>
      </c>
      <c r="D36" s="14">
        <v>355</v>
      </c>
      <c r="E36" s="14">
        <f t="shared" si="0"/>
        <v>36197</v>
      </c>
      <c r="F36" s="14">
        <f t="shared" si="1"/>
        <v>35425.911500000002</v>
      </c>
      <c r="G36" s="14">
        <f t="shared" si="2"/>
        <v>71623</v>
      </c>
      <c r="H36" s="14">
        <v>67180</v>
      </c>
      <c r="I36" s="14">
        <f t="shared" si="3"/>
        <v>4443</v>
      </c>
      <c r="K36" s="340">
        <v>36197</v>
      </c>
    </row>
    <row r="37" spans="1:11" x14ac:dyDescent="0.2">
      <c r="A37" s="20" t="s">
        <v>47</v>
      </c>
      <c r="B37" s="21" t="s">
        <v>121</v>
      </c>
      <c r="C37" s="170" t="s">
        <v>181</v>
      </c>
      <c r="D37" s="14">
        <v>8</v>
      </c>
      <c r="E37" s="14">
        <f t="shared" si="0"/>
        <v>0</v>
      </c>
      <c r="F37" s="14">
        <f t="shared" si="1"/>
        <v>798.33040000000005</v>
      </c>
      <c r="G37" s="14">
        <f t="shared" si="2"/>
        <v>798</v>
      </c>
      <c r="H37" s="14">
        <v>844</v>
      </c>
      <c r="I37" s="14">
        <f t="shared" si="3"/>
        <v>-46</v>
      </c>
      <c r="K37" s="340">
        <v>0</v>
      </c>
    </row>
    <row r="38" spans="1:11" x14ac:dyDescent="0.2">
      <c r="A38" s="20" t="s">
        <v>38</v>
      </c>
      <c r="B38" s="21" t="s">
        <v>120</v>
      </c>
      <c r="C38" s="170" t="s">
        <v>181</v>
      </c>
      <c r="D38" s="14">
        <v>202</v>
      </c>
      <c r="E38" s="14">
        <f t="shared" si="0"/>
        <v>65523</v>
      </c>
      <c r="F38" s="14">
        <f t="shared" si="1"/>
        <v>20157.8426</v>
      </c>
      <c r="G38" s="14">
        <f t="shared" si="2"/>
        <v>85681</v>
      </c>
      <c r="H38" s="14">
        <v>82830</v>
      </c>
      <c r="I38" s="14">
        <f t="shared" si="3"/>
        <v>2851</v>
      </c>
      <c r="K38" s="340">
        <v>65523</v>
      </c>
    </row>
    <row r="39" spans="1:11" x14ac:dyDescent="0.2">
      <c r="A39" s="20" t="s">
        <v>38</v>
      </c>
      <c r="B39" s="21" t="s">
        <v>119</v>
      </c>
      <c r="C39" s="170" t="s">
        <v>181</v>
      </c>
      <c r="D39" s="14">
        <v>245</v>
      </c>
      <c r="E39" s="14">
        <f t="shared" si="0"/>
        <v>27496</v>
      </c>
      <c r="F39" s="14">
        <f t="shared" si="1"/>
        <v>24448.8685</v>
      </c>
      <c r="G39" s="14">
        <f t="shared" si="2"/>
        <v>51945</v>
      </c>
      <c r="H39" s="14">
        <v>48939</v>
      </c>
      <c r="I39" s="14">
        <f t="shared" si="3"/>
        <v>3006</v>
      </c>
      <c r="K39" s="340">
        <v>27496</v>
      </c>
    </row>
    <row r="40" spans="1:11" x14ac:dyDescent="0.2">
      <c r="A40" s="20" t="s">
        <v>38</v>
      </c>
      <c r="B40" s="21" t="s">
        <v>118</v>
      </c>
      <c r="C40" s="170" t="s">
        <v>181</v>
      </c>
      <c r="D40" s="14">
        <v>276</v>
      </c>
      <c r="E40" s="14">
        <f t="shared" si="0"/>
        <v>35249</v>
      </c>
      <c r="F40" s="14">
        <f t="shared" si="1"/>
        <v>27542.398800000003</v>
      </c>
      <c r="G40" s="14">
        <f t="shared" si="2"/>
        <v>62791</v>
      </c>
      <c r="H40" s="14">
        <v>59816</v>
      </c>
      <c r="I40" s="14">
        <f t="shared" si="3"/>
        <v>2975</v>
      </c>
      <c r="K40" s="340">
        <v>35249</v>
      </c>
    </row>
    <row r="41" spans="1:11" x14ac:dyDescent="0.2">
      <c r="A41" s="20" t="s">
        <v>38</v>
      </c>
      <c r="B41" s="21" t="s">
        <v>37</v>
      </c>
      <c r="C41" s="170" t="s">
        <v>181</v>
      </c>
      <c r="D41" s="14">
        <v>865</v>
      </c>
      <c r="E41" s="14">
        <f t="shared" si="0"/>
        <v>68056</v>
      </c>
      <c r="F41" s="14">
        <f t="shared" si="1"/>
        <v>86319.474500000011</v>
      </c>
      <c r="G41" s="14">
        <f t="shared" si="2"/>
        <v>154375</v>
      </c>
      <c r="H41" s="14">
        <v>141251</v>
      </c>
      <c r="I41" s="14">
        <f t="shared" si="3"/>
        <v>13124</v>
      </c>
      <c r="K41" s="340">
        <v>68056</v>
      </c>
    </row>
    <row r="42" spans="1:11" x14ac:dyDescent="0.2">
      <c r="A42" s="20" t="s">
        <v>38</v>
      </c>
      <c r="B42" s="21" t="s">
        <v>117</v>
      </c>
      <c r="C42" s="170" t="s">
        <v>181</v>
      </c>
      <c r="D42" s="14">
        <v>510</v>
      </c>
      <c r="E42" s="14">
        <f t="shared" si="0"/>
        <v>84340</v>
      </c>
      <c r="F42" s="14">
        <f t="shared" si="1"/>
        <v>50893.563000000002</v>
      </c>
      <c r="G42" s="14">
        <f t="shared" si="2"/>
        <v>135234</v>
      </c>
      <c r="H42" s="14">
        <v>127396</v>
      </c>
      <c r="I42" s="14">
        <f t="shared" si="3"/>
        <v>7838</v>
      </c>
      <c r="K42" s="340">
        <v>84340</v>
      </c>
    </row>
    <row r="43" spans="1:11" x14ac:dyDescent="0.2">
      <c r="A43" s="20" t="s">
        <v>38</v>
      </c>
      <c r="B43" s="21" t="s">
        <v>116</v>
      </c>
      <c r="C43" s="170" t="s">
        <v>181</v>
      </c>
      <c r="D43" s="14">
        <v>374</v>
      </c>
      <c r="E43" s="14">
        <f t="shared" si="0"/>
        <v>55949</v>
      </c>
      <c r="F43" s="14">
        <f t="shared" si="1"/>
        <v>37321.946200000006</v>
      </c>
      <c r="G43" s="14">
        <f t="shared" si="2"/>
        <v>93271</v>
      </c>
      <c r="H43" s="14">
        <v>85750</v>
      </c>
      <c r="I43" s="14">
        <f t="shared" si="3"/>
        <v>7521</v>
      </c>
      <c r="K43" s="340">
        <v>55949</v>
      </c>
    </row>
    <row r="44" spans="1:11" x14ac:dyDescent="0.2">
      <c r="A44" s="20" t="s">
        <v>38</v>
      </c>
      <c r="B44" s="21" t="s">
        <v>115</v>
      </c>
      <c r="C44" s="170" t="s">
        <v>181</v>
      </c>
      <c r="D44" s="14">
        <v>218</v>
      </c>
      <c r="E44" s="14">
        <f t="shared" si="0"/>
        <v>74664</v>
      </c>
      <c r="F44" s="14">
        <f t="shared" si="1"/>
        <v>21754.503400000001</v>
      </c>
      <c r="G44" s="14">
        <f t="shared" si="2"/>
        <v>96419</v>
      </c>
      <c r="H44" s="14">
        <v>94841</v>
      </c>
      <c r="I44" s="14">
        <f t="shared" si="3"/>
        <v>1578</v>
      </c>
      <c r="K44" s="340">
        <v>74664</v>
      </c>
    </row>
    <row r="45" spans="1:11" x14ac:dyDescent="0.2">
      <c r="A45" s="20" t="s">
        <v>38</v>
      </c>
      <c r="B45" s="21" t="s">
        <v>114</v>
      </c>
      <c r="C45" s="170" t="s">
        <v>181</v>
      </c>
      <c r="D45" s="14">
        <v>290</v>
      </c>
      <c r="E45" s="14">
        <f t="shared" si="0"/>
        <v>75568</v>
      </c>
      <c r="F45" s="14">
        <f t="shared" si="1"/>
        <v>28939.477000000003</v>
      </c>
      <c r="G45" s="14">
        <f t="shared" si="2"/>
        <v>104507</v>
      </c>
      <c r="H45" s="14">
        <v>99629</v>
      </c>
      <c r="I45" s="14">
        <f t="shared" si="3"/>
        <v>4878</v>
      </c>
      <c r="K45" s="340">
        <v>75568</v>
      </c>
    </row>
    <row r="46" spans="1:11" x14ac:dyDescent="0.2">
      <c r="A46" s="20" t="s">
        <v>35</v>
      </c>
      <c r="B46" s="21" t="s">
        <v>113</v>
      </c>
      <c r="C46" s="170" t="s">
        <v>181</v>
      </c>
      <c r="D46" s="14">
        <v>227</v>
      </c>
      <c r="E46" s="14">
        <f t="shared" si="0"/>
        <v>30212</v>
      </c>
      <c r="F46" s="14">
        <f t="shared" si="1"/>
        <v>22652.625100000001</v>
      </c>
      <c r="G46" s="14">
        <f t="shared" si="2"/>
        <v>52865</v>
      </c>
      <c r="H46" s="14">
        <v>48025</v>
      </c>
      <c r="I46" s="14">
        <f t="shared" si="3"/>
        <v>4840</v>
      </c>
      <c r="K46" s="340">
        <v>30212</v>
      </c>
    </row>
    <row r="47" spans="1:11" x14ac:dyDescent="0.2">
      <c r="A47" s="20" t="s">
        <v>35</v>
      </c>
      <c r="B47" s="21" t="s">
        <v>112</v>
      </c>
      <c r="C47" s="170" t="s">
        <v>181</v>
      </c>
      <c r="D47" s="14">
        <v>631</v>
      </c>
      <c r="E47" s="14">
        <f t="shared" si="0"/>
        <v>152277</v>
      </c>
      <c r="F47" s="14">
        <f t="shared" si="1"/>
        <v>62968.310300000005</v>
      </c>
      <c r="G47" s="14">
        <f t="shared" si="2"/>
        <v>215245</v>
      </c>
      <c r="H47" s="14">
        <v>206730</v>
      </c>
      <c r="I47" s="14">
        <f t="shared" si="3"/>
        <v>8515</v>
      </c>
      <c r="K47" s="340">
        <v>152277</v>
      </c>
    </row>
    <row r="48" spans="1:11" x14ac:dyDescent="0.2">
      <c r="A48" s="20" t="s">
        <v>35</v>
      </c>
      <c r="B48" s="21" t="s">
        <v>111</v>
      </c>
      <c r="C48" s="170" t="s">
        <v>181</v>
      </c>
      <c r="D48" s="14">
        <v>227</v>
      </c>
      <c r="E48" s="14">
        <f t="shared" si="0"/>
        <v>32770</v>
      </c>
      <c r="F48" s="14">
        <f t="shared" si="1"/>
        <v>22652.625100000001</v>
      </c>
      <c r="G48" s="14">
        <f t="shared" si="2"/>
        <v>55423</v>
      </c>
      <c r="H48" s="14">
        <v>52441</v>
      </c>
      <c r="I48" s="14">
        <f t="shared" si="3"/>
        <v>2982</v>
      </c>
      <c r="K48" s="340">
        <v>32770</v>
      </c>
    </row>
    <row r="49" spans="1:11" x14ac:dyDescent="0.2">
      <c r="A49" s="20" t="s">
        <v>28</v>
      </c>
      <c r="B49" s="21" t="s">
        <v>110</v>
      </c>
      <c r="C49" s="170" t="s">
        <v>181</v>
      </c>
      <c r="D49" s="14">
        <v>223</v>
      </c>
      <c r="E49" s="14">
        <f t="shared" si="0"/>
        <v>27011</v>
      </c>
      <c r="F49" s="14">
        <f t="shared" si="1"/>
        <v>22253.459900000002</v>
      </c>
      <c r="G49" s="14">
        <f t="shared" si="2"/>
        <v>49264</v>
      </c>
      <c r="H49" s="14">
        <v>45078</v>
      </c>
      <c r="I49" s="14">
        <f t="shared" si="3"/>
        <v>4186</v>
      </c>
      <c r="K49" s="340">
        <v>27011</v>
      </c>
    </row>
    <row r="50" spans="1:11" x14ac:dyDescent="0.2">
      <c r="A50" s="20" t="s">
        <v>28</v>
      </c>
      <c r="B50" s="21" t="s">
        <v>109</v>
      </c>
      <c r="C50" s="170" t="s">
        <v>181</v>
      </c>
      <c r="D50" s="14">
        <v>15</v>
      </c>
      <c r="E50" s="14">
        <f t="shared" si="0"/>
        <v>2871</v>
      </c>
      <c r="F50" s="14">
        <f t="shared" si="1"/>
        <v>1496.8695</v>
      </c>
      <c r="G50" s="14">
        <f t="shared" si="2"/>
        <v>4368</v>
      </c>
      <c r="H50" s="14">
        <v>3884</v>
      </c>
      <c r="I50" s="14">
        <f t="shared" si="3"/>
        <v>484</v>
      </c>
      <c r="K50" s="340">
        <v>2871</v>
      </c>
    </row>
    <row r="51" spans="1:11" x14ac:dyDescent="0.2">
      <c r="A51" s="20" t="s">
        <v>28</v>
      </c>
      <c r="B51" s="21" t="s">
        <v>221</v>
      </c>
      <c r="C51" s="170" t="s">
        <v>181</v>
      </c>
      <c r="D51" s="14">
        <v>197</v>
      </c>
      <c r="E51" s="14">
        <f t="shared" si="0"/>
        <v>69698</v>
      </c>
      <c r="F51" s="14">
        <f t="shared" si="1"/>
        <v>19658.8861</v>
      </c>
      <c r="G51" s="14">
        <f t="shared" si="2"/>
        <v>89357</v>
      </c>
      <c r="H51" s="14">
        <v>85232</v>
      </c>
      <c r="I51" s="14">
        <f t="shared" si="3"/>
        <v>4125</v>
      </c>
      <c r="K51" s="340">
        <v>69698</v>
      </c>
    </row>
    <row r="52" spans="1:11" x14ac:dyDescent="0.2">
      <c r="A52" s="20" t="s">
        <v>28</v>
      </c>
      <c r="B52" s="21" t="s">
        <v>222</v>
      </c>
      <c r="C52" s="170" t="s">
        <v>181</v>
      </c>
      <c r="D52" s="14">
        <v>392</v>
      </c>
      <c r="E52" s="14">
        <f t="shared" si="0"/>
        <v>113915</v>
      </c>
      <c r="F52" s="14">
        <f t="shared" si="1"/>
        <v>39118.189600000005</v>
      </c>
      <c r="G52" s="14">
        <f t="shared" si="2"/>
        <v>153033</v>
      </c>
      <c r="H52" s="14">
        <v>147515</v>
      </c>
      <c r="I52" s="14">
        <f t="shared" si="3"/>
        <v>5518</v>
      </c>
      <c r="K52" s="340">
        <v>113915</v>
      </c>
    </row>
    <row r="53" spans="1:11" x14ac:dyDescent="0.2">
      <c r="A53" s="20" t="s">
        <v>28</v>
      </c>
      <c r="B53" s="21" t="s">
        <v>30</v>
      </c>
      <c r="C53" s="170" t="s">
        <v>181</v>
      </c>
      <c r="D53" s="14">
        <v>2686</v>
      </c>
      <c r="E53" s="14">
        <f t="shared" si="0"/>
        <v>544564</v>
      </c>
      <c r="F53" s="14">
        <f t="shared" si="1"/>
        <v>268039.43180000002</v>
      </c>
      <c r="G53" s="14">
        <f t="shared" si="2"/>
        <v>812603</v>
      </c>
      <c r="H53" s="14">
        <v>773604</v>
      </c>
      <c r="I53" s="14">
        <f t="shared" si="3"/>
        <v>38999</v>
      </c>
      <c r="K53" s="340">
        <v>544564</v>
      </c>
    </row>
    <row r="54" spans="1:11" x14ac:dyDescent="0.2">
      <c r="A54" s="20" t="s">
        <v>28</v>
      </c>
      <c r="B54" s="21" t="s">
        <v>108</v>
      </c>
      <c r="C54" s="170" t="s">
        <v>181</v>
      </c>
      <c r="D54" s="14">
        <v>163</v>
      </c>
      <c r="E54" s="14">
        <f t="shared" si="0"/>
        <v>36575</v>
      </c>
      <c r="F54" s="14">
        <f t="shared" si="1"/>
        <v>16265.981900000001</v>
      </c>
      <c r="G54" s="14">
        <f t="shared" si="2"/>
        <v>52841</v>
      </c>
      <c r="H54" s="14">
        <v>51602</v>
      </c>
      <c r="I54" s="14">
        <f t="shared" si="3"/>
        <v>1239</v>
      </c>
      <c r="K54" s="340">
        <v>36575</v>
      </c>
    </row>
    <row r="55" spans="1:11" x14ac:dyDescent="0.2">
      <c r="A55" s="20" t="s">
        <v>28</v>
      </c>
      <c r="B55" s="21" t="s">
        <v>107</v>
      </c>
      <c r="C55" s="170" t="s">
        <v>181</v>
      </c>
      <c r="D55" s="14">
        <v>760</v>
      </c>
      <c r="E55" s="14">
        <f t="shared" si="0"/>
        <v>123864</v>
      </c>
      <c r="F55" s="14">
        <f t="shared" si="1"/>
        <v>75841.388000000006</v>
      </c>
      <c r="G55" s="14">
        <f t="shared" si="2"/>
        <v>199705</v>
      </c>
      <c r="H55" s="14">
        <v>188363</v>
      </c>
      <c r="I55" s="14">
        <f t="shared" si="3"/>
        <v>11342</v>
      </c>
      <c r="K55" s="340">
        <v>123864</v>
      </c>
    </row>
    <row r="56" spans="1:11" x14ac:dyDescent="0.2">
      <c r="A56" s="20" t="s">
        <v>24</v>
      </c>
      <c r="B56" s="21" t="s">
        <v>106</v>
      </c>
      <c r="C56" s="170" t="s">
        <v>181</v>
      </c>
      <c r="D56" s="14">
        <v>277</v>
      </c>
      <c r="E56" s="14">
        <f t="shared" si="0"/>
        <v>71850</v>
      </c>
      <c r="F56" s="14">
        <f t="shared" si="1"/>
        <v>27642.190100000003</v>
      </c>
      <c r="G56" s="14">
        <f t="shared" si="2"/>
        <v>99492</v>
      </c>
      <c r="H56" s="14">
        <v>95995</v>
      </c>
      <c r="I56" s="14">
        <f t="shared" si="3"/>
        <v>3497</v>
      </c>
      <c r="K56" s="340">
        <v>71850</v>
      </c>
    </row>
    <row r="57" spans="1:11" x14ac:dyDescent="0.2">
      <c r="A57" s="20" t="s">
        <v>24</v>
      </c>
      <c r="B57" s="21" t="s">
        <v>105</v>
      </c>
      <c r="C57" s="170" t="s">
        <v>181</v>
      </c>
      <c r="D57" s="14">
        <v>474</v>
      </c>
      <c r="E57" s="14">
        <f t="shared" si="0"/>
        <v>76773</v>
      </c>
      <c r="F57" s="14">
        <f t="shared" si="1"/>
        <v>47301.076200000003</v>
      </c>
      <c r="G57" s="14">
        <f t="shared" si="2"/>
        <v>124074</v>
      </c>
      <c r="H57" s="14">
        <v>116790</v>
      </c>
      <c r="I57" s="14">
        <f t="shared" si="3"/>
        <v>7284</v>
      </c>
      <c r="K57" s="340">
        <v>76773</v>
      </c>
    </row>
    <row r="58" spans="1:11" x14ac:dyDescent="0.2">
      <c r="A58" s="20" t="s">
        <v>24</v>
      </c>
      <c r="B58" s="21" t="s">
        <v>104</v>
      </c>
      <c r="C58" s="170" t="s">
        <v>181</v>
      </c>
      <c r="D58" s="14">
        <v>310</v>
      </c>
      <c r="E58" s="14">
        <f t="shared" si="0"/>
        <v>89726</v>
      </c>
      <c r="F58" s="14">
        <f t="shared" si="1"/>
        <v>30935.303000000004</v>
      </c>
      <c r="G58" s="14">
        <f t="shared" si="2"/>
        <v>120661</v>
      </c>
      <c r="H58" s="14">
        <v>116404</v>
      </c>
      <c r="I58" s="14">
        <f t="shared" si="3"/>
        <v>4257</v>
      </c>
      <c r="K58" s="340">
        <v>89726</v>
      </c>
    </row>
    <row r="59" spans="1:11" x14ac:dyDescent="0.2">
      <c r="A59" s="20" t="s">
        <v>24</v>
      </c>
      <c r="B59" s="21" t="s">
        <v>103</v>
      </c>
      <c r="C59" s="170" t="s">
        <v>181</v>
      </c>
      <c r="D59" s="14">
        <v>729</v>
      </c>
      <c r="E59" s="14">
        <f t="shared" si="0"/>
        <v>104368</v>
      </c>
      <c r="F59" s="14">
        <f t="shared" si="1"/>
        <v>72747.857700000008</v>
      </c>
      <c r="G59" s="14">
        <f t="shared" si="2"/>
        <v>177116</v>
      </c>
      <c r="H59" s="14">
        <v>164477</v>
      </c>
      <c r="I59" s="14">
        <f t="shared" si="3"/>
        <v>12639</v>
      </c>
      <c r="K59" s="340">
        <v>104368</v>
      </c>
    </row>
    <row r="60" spans="1:11" x14ac:dyDescent="0.2">
      <c r="A60" s="20" t="s">
        <v>20</v>
      </c>
      <c r="B60" s="21" t="s">
        <v>102</v>
      </c>
      <c r="C60" s="170" t="s">
        <v>181</v>
      </c>
      <c r="D60" s="14">
        <v>62</v>
      </c>
      <c r="E60" s="14">
        <f t="shared" si="0"/>
        <v>10211</v>
      </c>
      <c r="F60" s="14">
        <f t="shared" si="1"/>
        <v>6187.0606000000007</v>
      </c>
      <c r="G60" s="14">
        <f t="shared" si="2"/>
        <v>16398</v>
      </c>
      <c r="H60" s="14">
        <v>15530</v>
      </c>
      <c r="I60" s="14">
        <f t="shared" si="3"/>
        <v>868</v>
      </c>
      <c r="K60" s="340">
        <v>10211</v>
      </c>
    </row>
    <row r="61" spans="1:11" x14ac:dyDescent="0.2">
      <c r="A61" s="23" t="s">
        <v>20</v>
      </c>
      <c r="B61" s="21" t="s">
        <v>101</v>
      </c>
      <c r="C61" s="170" t="s">
        <v>181</v>
      </c>
      <c r="D61" s="14"/>
      <c r="E61" s="14">
        <f t="shared" si="0"/>
        <v>0</v>
      </c>
      <c r="F61" s="14">
        <f t="shared" si="1"/>
        <v>0</v>
      </c>
      <c r="G61" s="14">
        <f t="shared" si="2"/>
        <v>0</v>
      </c>
      <c r="H61" s="14">
        <v>0</v>
      </c>
      <c r="I61" s="14">
        <f t="shared" si="3"/>
        <v>0</v>
      </c>
      <c r="K61" s="340">
        <v>0</v>
      </c>
    </row>
    <row r="62" spans="1:11" x14ac:dyDescent="0.2">
      <c r="A62" s="23" t="s">
        <v>20</v>
      </c>
      <c r="B62" s="21" t="s">
        <v>223</v>
      </c>
      <c r="C62" s="170" t="s">
        <v>181</v>
      </c>
      <c r="D62" s="14">
        <v>1523</v>
      </c>
      <c r="E62" s="14">
        <f t="shared" si="0"/>
        <v>374472</v>
      </c>
      <c r="F62" s="14">
        <f t="shared" si="1"/>
        <v>151982.14990000002</v>
      </c>
      <c r="G62" s="14">
        <f t="shared" si="2"/>
        <v>526454</v>
      </c>
      <c r="H62" s="14">
        <v>505497</v>
      </c>
      <c r="I62" s="14">
        <f t="shared" si="3"/>
        <v>20957</v>
      </c>
      <c r="K62" s="340">
        <v>374472</v>
      </c>
    </row>
    <row r="63" spans="1:11" x14ac:dyDescent="0.2">
      <c r="A63" s="20" t="s">
        <v>13</v>
      </c>
      <c r="B63" s="21" t="s">
        <v>224</v>
      </c>
      <c r="C63" s="170" t="s">
        <v>181</v>
      </c>
      <c r="D63" s="14">
        <v>799</v>
      </c>
      <c r="E63" s="14">
        <f t="shared" si="0"/>
        <v>204703</v>
      </c>
      <c r="F63" s="14">
        <f t="shared" si="1"/>
        <v>79733.248700000011</v>
      </c>
      <c r="G63" s="14">
        <f t="shared" si="2"/>
        <v>284436</v>
      </c>
      <c r="H63" s="14">
        <v>271482</v>
      </c>
      <c r="I63" s="14">
        <f t="shared" si="3"/>
        <v>12954</v>
      </c>
      <c r="K63" s="340">
        <v>204703</v>
      </c>
    </row>
    <row r="64" spans="1:11" x14ac:dyDescent="0.2">
      <c r="A64" s="20" t="s">
        <v>13</v>
      </c>
      <c r="B64" s="21" t="s">
        <v>100</v>
      </c>
      <c r="C64" s="170" t="s">
        <v>181</v>
      </c>
      <c r="D64" s="14">
        <v>1090</v>
      </c>
      <c r="E64" s="14">
        <f t="shared" si="0"/>
        <v>25859</v>
      </c>
      <c r="F64" s="14">
        <f t="shared" si="1"/>
        <v>108772.51700000001</v>
      </c>
      <c r="G64" s="14">
        <f t="shared" si="2"/>
        <v>134632</v>
      </c>
      <c r="H64" s="14">
        <v>109860</v>
      </c>
      <c r="I64" s="14">
        <f t="shared" si="3"/>
        <v>24772</v>
      </c>
      <c r="K64" s="340">
        <v>25859</v>
      </c>
    </row>
    <row r="65" spans="1:11" x14ac:dyDescent="0.2">
      <c r="A65" s="20" t="s">
        <v>13</v>
      </c>
      <c r="B65" s="21" t="s">
        <v>225</v>
      </c>
      <c r="C65" s="170" t="s">
        <v>181</v>
      </c>
      <c r="D65" s="14">
        <v>468</v>
      </c>
      <c r="E65" s="14">
        <f t="shared" si="0"/>
        <v>30222</v>
      </c>
      <c r="F65" s="14">
        <f t="shared" si="1"/>
        <v>46702.328400000006</v>
      </c>
      <c r="G65" s="14">
        <f t="shared" si="2"/>
        <v>76924</v>
      </c>
      <c r="H65" s="14">
        <v>68803</v>
      </c>
      <c r="I65" s="14">
        <f t="shared" si="3"/>
        <v>8121</v>
      </c>
      <c r="K65" s="340">
        <v>30222</v>
      </c>
    </row>
    <row r="66" spans="1:11" x14ac:dyDescent="0.2">
      <c r="A66" s="20" t="s">
        <v>13</v>
      </c>
      <c r="B66" s="21" t="s">
        <v>99</v>
      </c>
      <c r="C66" s="170" t="s">
        <v>181</v>
      </c>
      <c r="D66" s="14">
        <v>460</v>
      </c>
      <c r="E66" s="14">
        <f t="shared" si="0"/>
        <v>31436</v>
      </c>
      <c r="F66" s="14">
        <f t="shared" si="1"/>
        <v>45903.998</v>
      </c>
      <c r="G66" s="14">
        <f t="shared" si="2"/>
        <v>77340</v>
      </c>
      <c r="H66" s="14">
        <v>65712</v>
      </c>
      <c r="I66" s="14">
        <f t="shared" si="3"/>
        <v>11628</v>
      </c>
      <c r="K66" s="340">
        <v>31436</v>
      </c>
    </row>
    <row r="67" spans="1:11" x14ac:dyDescent="0.2">
      <c r="A67" s="20" t="s">
        <v>13</v>
      </c>
      <c r="B67" s="21" t="s">
        <v>98</v>
      </c>
      <c r="C67" s="170" t="s">
        <v>181</v>
      </c>
      <c r="D67" s="14">
        <v>302</v>
      </c>
      <c r="E67" s="14">
        <f t="shared" si="0"/>
        <v>32991</v>
      </c>
      <c r="F67" s="14">
        <f t="shared" si="1"/>
        <v>30136.972600000001</v>
      </c>
      <c r="G67" s="14">
        <f t="shared" si="2"/>
        <v>63128</v>
      </c>
      <c r="H67" s="14">
        <v>57474</v>
      </c>
      <c r="I67" s="14">
        <f t="shared" si="3"/>
        <v>5654</v>
      </c>
      <c r="K67" s="340">
        <v>32991</v>
      </c>
    </row>
    <row r="68" spans="1:11" x14ac:dyDescent="0.2">
      <c r="A68" s="20" t="s">
        <v>13</v>
      </c>
      <c r="B68" s="21" t="s">
        <v>97</v>
      </c>
      <c r="C68" s="170" t="s">
        <v>181</v>
      </c>
      <c r="D68" s="14">
        <v>244</v>
      </c>
      <c r="E68" s="14">
        <f t="shared" si="0"/>
        <v>67304</v>
      </c>
      <c r="F68" s="14">
        <f t="shared" si="1"/>
        <v>24349.077200000003</v>
      </c>
      <c r="G68" s="14">
        <f t="shared" si="2"/>
        <v>91653</v>
      </c>
      <c r="H68" s="14">
        <v>87312</v>
      </c>
      <c r="I68" s="14">
        <f t="shared" si="3"/>
        <v>4341</v>
      </c>
      <c r="K68" s="340">
        <v>67304</v>
      </c>
    </row>
    <row r="69" spans="1:11" x14ac:dyDescent="0.2">
      <c r="A69" s="20" t="s">
        <v>13</v>
      </c>
      <c r="B69" s="21" t="s">
        <v>96</v>
      </c>
      <c r="C69" s="170" t="s">
        <v>181</v>
      </c>
      <c r="D69" s="14">
        <v>1036</v>
      </c>
      <c r="E69" s="14">
        <f t="shared" ref="E69:E82" si="4">IF($C69="jah",K69,0)</f>
        <v>102368</v>
      </c>
      <c r="F69" s="14">
        <f t="shared" ref="F69:F82" si="5">IF($C69="jah",D69*F$86,0)</f>
        <v>103383.7868</v>
      </c>
      <c r="G69" s="14">
        <f t="shared" ref="G69:G82" si="6">ROUND(E69+F69,0)</f>
        <v>205752</v>
      </c>
      <c r="H69" s="14">
        <v>185356</v>
      </c>
      <c r="I69" s="14">
        <f t="shared" si="3"/>
        <v>20396</v>
      </c>
      <c r="K69" s="340">
        <v>102368</v>
      </c>
    </row>
    <row r="70" spans="1:11" x14ac:dyDescent="0.2">
      <c r="A70" s="20" t="s">
        <v>13</v>
      </c>
      <c r="B70" s="21" t="s">
        <v>15</v>
      </c>
      <c r="C70" s="170" t="s">
        <v>181</v>
      </c>
      <c r="D70" s="14">
        <v>5171</v>
      </c>
      <c r="E70" s="14">
        <f t="shared" si="4"/>
        <v>918015</v>
      </c>
      <c r="F70" s="14">
        <f t="shared" si="5"/>
        <v>516020.81230000005</v>
      </c>
      <c r="G70" s="14">
        <f t="shared" si="6"/>
        <v>1434036</v>
      </c>
      <c r="H70" s="14">
        <v>1356930</v>
      </c>
      <c r="I70" s="14">
        <f t="shared" ref="I70:I82" si="7">G70-H70</f>
        <v>77106</v>
      </c>
      <c r="K70" s="340">
        <v>918015</v>
      </c>
    </row>
    <row r="71" spans="1:11" x14ac:dyDescent="0.2">
      <c r="A71" s="20" t="s">
        <v>10</v>
      </c>
      <c r="B71" s="21" t="s">
        <v>95</v>
      </c>
      <c r="C71" s="170" t="s">
        <v>181</v>
      </c>
      <c r="D71" s="14">
        <v>286</v>
      </c>
      <c r="E71" s="14">
        <f t="shared" si="4"/>
        <v>18793</v>
      </c>
      <c r="F71" s="14">
        <f t="shared" si="5"/>
        <v>28540.311800000003</v>
      </c>
      <c r="G71" s="14">
        <f t="shared" si="6"/>
        <v>47333</v>
      </c>
      <c r="H71" s="14">
        <v>44458</v>
      </c>
      <c r="I71" s="14">
        <f t="shared" si="7"/>
        <v>2875</v>
      </c>
      <c r="K71" s="340">
        <v>18793</v>
      </c>
    </row>
    <row r="72" spans="1:11" x14ac:dyDescent="0.2">
      <c r="A72" s="20" t="s">
        <v>10</v>
      </c>
      <c r="B72" s="21" t="s">
        <v>226</v>
      </c>
      <c r="C72" s="170" t="s">
        <v>181</v>
      </c>
      <c r="D72" s="14">
        <v>302</v>
      </c>
      <c r="E72" s="14">
        <f t="shared" si="4"/>
        <v>59363</v>
      </c>
      <c r="F72" s="14">
        <f t="shared" si="5"/>
        <v>30136.972600000001</v>
      </c>
      <c r="G72" s="14">
        <f t="shared" si="6"/>
        <v>89500</v>
      </c>
      <c r="H72" s="14">
        <v>82917</v>
      </c>
      <c r="I72" s="14">
        <f t="shared" si="7"/>
        <v>6583</v>
      </c>
      <c r="K72" s="340">
        <v>59363</v>
      </c>
    </row>
    <row r="73" spans="1:11" x14ac:dyDescent="0.2">
      <c r="A73" s="20" t="s">
        <v>10</v>
      </c>
      <c r="B73" s="21" t="s">
        <v>227</v>
      </c>
      <c r="C73" s="170" t="s">
        <v>181</v>
      </c>
      <c r="D73" s="14">
        <v>563</v>
      </c>
      <c r="E73" s="14">
        <f t="shared" si="4"/>
        <v>77780</v>
      </c>
      <c r="F73" s="14">
        <f t="shared" si="5"/>
        <v>56182.501900000003</v>
      </c>
      <c r="G73" s="14">
        <f t="shared" si="6"/>
        <v>133963</v>
      </c>
      <c r="H73" s="14">
        <v>125310</v>
      </c>
      <c r="I73" s="14">
        <f t="shared" si="7"/>
        <v>8653</v>
      </c>
      <c r="K73" s="340">
        <v>77780</v>
      </c>
    </row>
    <row r="74" spans="1:11" x14ac:dyDescent="0.2">
      <c r="A74" s="20" t="s">
        <v>6</v>
      </c>
      <c r="B74" s="21" t="s">
        <v>228</v>
      </c>
      <c r="C74" s="170" t="s">
        <v>181</v>
      </c>
      <c r="D74" s="14">
        <v>293</v>
      </c>
      <c r="E74" s="14">
        <f t="shared" si="4"/>
        <v>44516</v>
      </c>
      <c r="F74" s="14">
        <f t="shared" si="5"/>
        <v>29238.850900000001</v>
      </c>
      <c r="G74" s="14">
        <f t="shared" si="6"/>
        <v>73755</v>
      </c>
      <c r="H74" s="14">
        <v>70012</v>
      </c>
      <c r="I74" s="14">
        <f t="shared" si="7"/>
        <v>3743</v>
      </c>
      <c r="K74" s="340">
        <v>44516</v>
      </c>
    </row>
    <row r="75" spans="1:11" x14ac:dyDescent="0.2">
      <c r="A75" s="20" t="s">
        <v>6</v>
      </c>
      <c r="B75" s="21" t="s">
        <v>229</v>
      </c>
      <c r="C75" s="170" t="s">
        <v>181</v>
      </c>
      <c r="D75" s="14">
        <v>375</v>
      </c>
      <c r="E75" s="14">
        <f t="shared" si="4"/>
        <v>93258</v>
      </c>
      <c r="F75" s="14">
        <f t="shared" si="5"/>
        <v>37421.737500000003</v>
      </c>
      <c r="G75" s="14">
        <f t="shared" si="6"/>
        <v>130680</v>
      </c>
      <c r="H75" s="14">
        <v>124579</v>
      </c>
      <c r="I75" s="14">
        <f t="shared" si="7"/>
        <v>6101</v>
      </c>
      <c r="K75" s="340">
        <v>93258</v>
      </c>
    </row>
    <row r="76" spans="1:11" x14ac:dyDescent="0.2">
      <c r="A76" s="20" t="s">
        <v>6</v>
      </c>
      <c r="B76" s="21" t="s">
        <v>94</v>
      </c>
      <c r="C76" s="170" t="s">
        <v>181</v>
      </c>
      <c r="D76" s="14">
        <v>641</v>
      </c>
      <c r="E76" s="14">
        <f t="shared" si="4"/>
        <v>103358</v>
      </c>
      <c r="F76" s="14">
        <f t="shared" si="5"/>
        <v>63966.223300000005</v>
      </c>
      <c r="G76" s="14">
        <f t="shared" si="6"/>
        <v>167324</v>
      </c>
      <c r="H76" s="14">
        <v>158824</v>
      </c>
      <c r="I76" s="14">
        <f t="shared" si="7"/>
        <v>8500</v>
      </c>
      <c r="K76" s="340">
        <v>103358</v>
      </c>
    </row>
    <row r="77" spans="1:11" x14ac:dyDescent="0.2">
      <c r="A77" s="20" t="s">
        <v>6</v>
      </c>
      <c r="B77" s="21" t="s">
        <v>5</v>
      </c>
      <c r="C77" s="170" t="s">
        <v>181</v>
      </c>
      <c r="D77" s="14">
        <v>903</v>
      </c>
      <c r="E77" s="14">
        <f t="shared" si="4"/>
        <v>231589</v>
      </c>
      <c r="F77" s="14">
        <f t="shared" si="5"/>
        <v>90111.543900000004</v>
      </c>
      <c r="G77" s="14">
        <f t="shared" si="6"/>
        <v>321701</v>
      </c>
      <c r="H77" s="14">
        <v>308414</v>
      </c>
      <c r="I77" s="14">
        <f t="shared" si="7"/>
        <v>13287</v>
      </c>
      <c r="K77" s="340">
        <v>231589</v>
      </c>
    </row>
    <row r="78" spans="1:11" x14ac:dyDescent="0.2">
      <c r="A78" s="20" t="s">
        <v>1</v>
      </c>
      <c r="B78" s="21" t="s">
        <v>93</v>
      </c>
      <c r="C78" s="170" t="s">
        <v>181</v>
      </c>
      <c r="D78" s="14">
        <v>163</v>
      </c>
      <c r="E78" s="14">
        <f t="shared" si="4"/>
        <v>22919</v>
      </c>
      <c r="F78" s="14">
        <f t="shared" si="5"/>
        <v>16265.981900000001</v>
      </c>
      <c r="G78" s="14">
        <f t="shared" si="6"/>
        <v>39185</v>
      </c>
      <c r="H78" s="14">
        <v>37186</v>
      </c>
      <c r="I78" s="14">
        <f t="shared" si="7"/>
        <v>1999</v>
      </c>
      <c r="K78" s="340">
        <v>22919</v>
      </c>
    </row>
    <row r="79" spans="1:11" x14ac:dyDescent="0.2">
      <c r="A79" s="20" t="s">
        <v>1</v>
      </c>
      <c r="B79" s="21" t="s">
        <v>92</v>
      </c>
      <c r="C79" s="170" t="s">
        <v>181</v>
      </c>
      <c r="D79" s="14">
        <v>161</v>
      </c>
      <c r="E79" s="14">
        <f t="shared" si="4"/>
        <v>34193</v>
      </c>
      <c r="F79" s="14">
        <f t="shared" si="5"/>
        <v>16066.399300000001</v>
      </c>
      <c r="G79" s="14">
        <f t="shared" si="6"/>
        <v>50259</v>
      </c>
      <c r="H79" s="14">
        <v>49727</v>
      </c>
      <c r="I79" s="14">
        <f t="shared" si="7"/>
        <v>532</v>
      </c>
      <c r="K79" s="340">
        <v>34193</v>
      </c>
    </row>
    <row r="80" spans="1:11" x14ac:dyDescent="0.2">
      <c r="A80" s="20" t="s">
        <v>1</v>
      </c>
      <c r="B80" s="21" t="s">
        <v>230</v>
      </c>
      <c r="C80" s="170" t="s">
        <v>181</v>
      </c>
      <c r="D80" s="14">
        <v>123</v>
      </c>
      <c r="E80" s="14">
        <f t="shared" si="4"/>
        <v>5423</v>
      </c>
      <c r="F80" s="14">
        <f t="shared" si="5"/>
        <v>12274.329900000001</v>
      </c>
      <c r="G80" s="14">
        <f t="shared" si="6"/>
        <v>17697</v>
      </c>
      <c r="H80" s="14">
        <v>15723</v>
      </c>
      <c r="I80" s="14">
        <f t="shared" si="7"/>
        <v>1974</v>
      </c>
      <c r="K80" s="340">
        <v>5423</v>
      </c>
    </row>
    <row r="81" spans="1:11" x14ac:dyDescent="0.2">
      <c r="A81" s="20" t="s">
        <v>1</v>
      </c>
      <c r="B81" s="21" t="s">
        <v>91</v>
      </c>
      <c r="C81" s="170" t="s">
        <v>181</v>
      </c>
      <c r="D81" s="14">
        <v>509</v>
      </c>
      <c r="E81" s="14">
        <f t="shared" si="4"/>
        <v>116864</v>
      </c>
      <c r="F81" s="14">
        <f t="shared" si="5"/>
        <v>50793.771700000005</v>
      </c>
      <c r="G81" s="14">
        <f t="shared" si="6"/>
        <v>167658</v>
      </c>
      <c r="H81" s="14">
        <v>156881</v>
      </c>
      <c r="I81" s="14">
        <f t="shared" si="7"/>
        <v>10777</v>
      </c>
      <c r="K81" s="340">
        <v>116864</v>
      </c>
    </row>
    <row r="82" spans="1:11" x14ac:dyDescent="0.2">
      <c r="A82" s="20" t="s">
        <v>1</v>
      </c>
      <c r="B82" s="21" t="s">
        <v>0</v>
      </c>
      <c r="C82" s="170" t="s">
        <v>181</v>
      </c>
      <c r="D82" s="14">
        <v>687</v>
      </c>
      <c r="E82" s="14">
        <f t="shared" si="4"/>
        <v>226305</v>
      </c>
      <c r="F82" s="14">
        <f t="shared" si="5"/>
        <v>68556.623100000012</v>
      </c>
      <c r="G82" s="14">
        <f t="shared" si="6"/>
        <v>294862</v>
      </c>
      <c r="H82" s="14">
        <v>281771</v>
      </c>
      <c r="I82" s="14">
        <f t="shared" si="7"/>
        <v>13091</v>
      </c>
      <c r="K82" s="340">
        <v>226305</v>
      </c>
    </row>
    <row r="83" spans="1:11" x14ac:dyDescent="0.2">
      <c r="A83" s="209" t="s">
        <v>149</v>
      </c>
      <c r="B83" s="209"/>
      <c r="C83" s="25"/>
      <c r="D83" s="25">
        <f>SUM(D4:D82)</f>
        <v>68151</v>
      </c>
      <c r="E83" s="25">
        <f t="shared" ref="E83:I83" si="8">SUM(E4:E82)</f>
        <v>9199123</v>
      </c>
      <c r="F83" s="25">
        <f t="shared" si="8"/>
        <v>6800876.8862999994</v>
      </c>
      <c r="G83" s="25">
        <f t="shared" si="8"/>
        <v>16000000</v>
      </c>
      <c r="H83" s="25">
        <f t="shared" si="8"/>
        <v>15000000</v>
      </c>
      <c r="I83" s="25">
        <f t="shared" si="8"/>
        <v>1000000</v>
      </c>
    </row>
    <row r="84" spans="1:11" x14ac:dyDescent="0.2">
      <c r="B84" s="80"/>
      <c r="F84" s="26" t="s">
        <v>392</v>
      </c>
      <c r="G84" s="2">
        <v>16000000</v>
      </c>
      <c r="K84" s="341"/>
    </row>
    <row r="85" spans="1:11" x14ac:dyDescent="0.2">
      <c r="G85" s="15">
        <f>G84-G83</f>
        <v>0</v>
      </c>
      <c r="K85" s="341"/>
    </row>
    <row r="86" spans="1:11" x14ac:dyDescent="0.2">
      <c r="E86" t="s">
        <v>214</v>
      </c>
      <c r="F86" s="77">
        <v>99.791300000000007</v>
      </c>
      <c r="K86" s="341"/>
    </row>
    <row r="87" spans="1:11" x14ac:dyDescent="0.2">
      <c r="B87" s="80" t="s">
        <v>387</v>
      </c>
      <c r="C87">
        <f>COUNTIF(C4:C82,"jah")</f>
        <v>79</v>
      </c>
      <c r="K87" s="341"/>
    </row>
  </sheetData>
  <mergeCells count="11">
    <mergeCell ref="A83:B83"/>
    <mergeCell ref="E1:G1"/>
    <mergeCell ref="H1:H3"/>
    <mergeCell ref="I1:I3"/>
    <mergeCell ref="C1:C3"/>
    <mergeCell ref="E2:E3"/>
    <mergeCell ref="F2:F3"/>
    <mergeCell ref="G2:G3"/>
    <mergeCell ref="A1:A3"/>
    <mergeCell ref="B1:B3"/>
    <mergeCell ref="D1:D3"/>
  </mergeCells>
  <dataValidations count="1">
    <dataValidation type="list" allowBlank="1" showInputMessage="1" showErrorMessage="1" sqref="C4:C82" xr:uid="{BD74A002-0FAE-433C-8894-D82EA19F2A15}">
      <formula1>$K$1:$K$2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87"/>
  <sheetViews>
    <sheetView workbookViewId="0">
      <pane xSplit="2" ySplit="3" topLeftCell="F52" activePane="bottomRight" state="frozen"/>
      <selection pane="topRight" activeCell="D1" sqref="D1"/>
      <selection pane="bottomLeft" activeCell="A4" sqref="A4"/>
      <selection pane="bottomRight" activeCell="W83" sqref="W83"/>
    </sheetView>
  </sheetViews>
  <sheetFormatPr defaultRowHeight="12.75" x14ac:dyDescent="0.2"/>
  <cols>
    <col min="1" max="1" width="9.5703125" style="19" bestFit="1" customWidth="1"/>
    <col min="2" max="2" width="19.42578125" style="19" bestFit="1" customWidth="1"/>
    <col min="3" max="3" width="10.28515625" bestFit="1" customWidth="1"/>
    <col min="4" max="7" width="10.28515625" customWidth="1"/>
    <col min="10" max="10" width="9.7109375" bestFit="1" customWidth="1"/>
    <col min="11" max="11" width="9.28515625" bestFit="1" customWidth="1"/>
    <col min="12" max="12" width="9.28515625" customWidth="1"/>
    <col min="13" max="13" width="18.5703125" customWidth="1"/>
    <col min="14" max="14" width="16.5703125" customWidth="1"/>
    <col min="15" max="15" width="17.42578125" customWidth="1"/>
    <col min="16" max="16" width="10" customWidth="1"/>
    <col min="17" max="17" width="18.7109375" customWidth="1"/>
    <col min="18" max="18" width="10.5703125" bestFit="1" customWidth="1"/>
    <col min="19" max="19" width="17.5703125" customWidth="1"/>
    <col min="20" max="20" width="9.5703125" bestFit="1" customWidth="1"/>
    <col min="21" max="21" width="10.140625" bestFit="1" customWidth="1"/>
    <col min="22" max="22" width="13.140625" customWidth="1"/>
  </cols>
  <sheetData>
    <row r="1" spans="1:22" ht="12.75" customHeight="1" x14ac:dyDescent="0.2">
      <c r="A1" s="189" t="s">
        <v>148</v>
      </c>
      <c r="B1" s="189" t="s">
        <v>147</v>
      </c>
      <c r="C1" s="193" t="s">
        <v>165</v>
      </c>
      <c r="D1" s="230"/>
      <c r="E1" s="231"/>
      <c r="F1" s="231"/>
      <c r="G1" s="232"/>
      <c r="H1" s="193" t="s">
        <v>167</v>
      </c>
      <c r="I1" s="237"/>
      <c r="J1" s="231"/>
      <c r="K1" s="231"/>
      <c r="L1" s="232"/>
      <c r="M1" s="227" t="s">
        <v>398</v>
      </c>
      <c r="N1" s="189" t="s">
        <v>400</v>
      </c>
      <c r="O1" s="187" t="s">
        <v>399</v>
      </c>
      <c r="P1" s="187" t="s">
        <v>397</v>
      </c>
      <c r="Q1" s="225" t="s">
        <v>369</v>
      </c>
      <c r="R1" s="225" t="s">
        <v>166</v>
      </c>
      <c r="S1" s="225" t="s">
        <v>370</v>
      </c>
      <c r="T1" s="225" t="s">
        <v>166</v>
      </c>
      <c r="U1" s="220" t="s">
        <v>524</v>
      </c>
      <c r="V1" s="187" t="s">
        <v>525</v>
      </c>
    </row>
    <row r="2" spans="1:22" ht="12.75" customHeight="1" x14ac:dyDescent="0.2">
      <c r="A2" s="189"/>
      <c r="B2" s="189"/>
      <c r="C2" s="233"/>
      <c r="D2" s="234"/>
      <c r="E2" s="235"/>
      <c r="F2" s="235"/>
      <c r="G2" s="236"/>
      <c r="H2" s="233"/>
      <c r="I2" s="234"/>
      <c r="J2" s="235"/>
      <c r="K2" s="235"/>
      <c r="L2" s="236"/>
      <c r="M2" s="228"/>
      <c r="N2" s="229"/>
      <c r="O2" s="224"/>
      <c r="P2" s="224"/>
      <c r="Q2" s="226"/>
      <c r="R2" s="226"/>
      <c r="S2" s="226"/>
      <c r="T2" s="226"/>
      <c r="U2" s="223"/>
      <c r="V2" s="224"/>
    </row>
    <row r="3" spans="1:22" ht="29.25" customHeight="1" x14ac:dyDescent="0.2">
      <c r="A3" s="189"/>
      <c r="B3" s="189"/>
      <c r="C3" s="97">
        <v>2019</v>
      </c>
      <c r="D3" s="85">
        <v>2020</v>
      </c>
      <c r="E3" s="85">
        <v>2021</v>
      </c>
      <c r="F3" s="85">
        <v>2022</v>
      </c>
      <c r="G3" s="85">
        <v>2023</v>
      </c>
      <c r="H3" s="97">
        <v>2019</v>
      </c>
      <c r="I3" s="97">
        <v>2020</v>
      </c>
      <c r="J3" s="85">
        <v>2021</v>
      </c>
      <c r="K3" s="85">
        <v>2022</v>
      </c>
      <c r="L3" s="85">
        <v>2023</v>
      </c>
      <c r="M3" s="228"/>
      <c r="N3" s="229"/>
      <c r="O3" s="224"/>
      <c r="P3" s="224"/>
      <c r="Q3" s="226"/>
      <c r="R3" s="226"/>
      <c r="S3" s="226"/>
      <c r="T3" s="226"/>
      <c r="U3" s="177" t="s">
        <v>526</v>
      </c>
      <c r="V3" s="224"/>
    </row>
    <row r="4" spans="1:22" x14ac:dyDescent="0.2">
      <c r="A4" s="20" t="s">
        <v>69</v>
      </c>
      <c r="B4" s="21" t="s">
        <v>138</v>
      </c>
      <c r="C4" s="14">
        <v>52012.92</v>
      </c>
      <c r="D4" s="14">
        <v>59789.3</v>
      </c>
      <c r="E4" s="14">
        <v>60659.65</v>
      </c>
      <c r="F4" s="14">
        <v>279008.88</v>
      </c>
      <c r="G4" s="14">
        <v>205533.15</v>
      </c>
      <c r="H4" s="14">
        <v>12932.690000000002</v>
      </c>
      <c r="I4" s="14">
        <v>-5171.6100000000006</v>
      </c>
      <c r="J4" s="14">
        <v>5871.739999999998</v>
      </c>
      <c r="K4" s="14">
        <v>22633.859999999986</v>
      </c>
      <c r="L4" s="14">
        <f>K4+Q4-G4</f>
        <v>45574.709999999992</v>
      </c>
      <c r="M4" s="14">
        <f>ROUND(IF(G4*M$87-L4&lt;0,0,G4*M$87-L4),0)</f>
        <v>118852</v>
      </c>
      <c r="N4" s="14">
        <v>670</v>
      </c>
      <c r="O4" s="14">
        <f>ROUND(N4*O$87,0)</f>
        <v>5923</v>
      </c>
      <c r="P4" s="14">
        <f t="shared" ref="P4:P35" si="0">O4+M4</f>
        <v>124775</v>
      </c>
      <c r="Q4" s="14">
        <v>228474</v>
      </c>
      <c r="R4" s="14">
        <f t="shared" ref="R4:R35" si="1">M4-Q4</f>
        <v>-109622</v>
      </c>
      <c r="S4" s="14">
        <v>3021</v>
      </c>
      <c r="T4" s="14">
        <f t="shared" ref="T4:T35" si="2">O4-S4</f>
        <v>2902</v>
      </c>
      <c r="U4" s="14">
        <v>103780.19</v>
      </c>
      <c r="V4" s="14">
        <f>ROUND(IF(U4*1.65&gt;L4+M4,U4*1.65-(L4+M4),0),-3)</f>
        <v>7000</v>
      </c>
    </row>
    <row r="5" spans="1:22" x14ac:dyDescent="0.2">
      <c r="A5" s="20" t="s">
        <v>69</v>
      </c>
      <c r="B5" s="21" t="s">
        <v>137</v>
      </c>
      <c r="C5" s="14">
        <v>41170.03</v>
      </c>
      <c r="D5" s="14">
        <v>32718.82</v>
      </c>
      <c r="E5" s="14">
        <v>18574.689999999999</v>
      </c>
      <c r="F5" s="14">
        <v>101084.2</v>
      </c>
      <c r="G5" s="14">
        <v>109957.34</v>
      </c>
      <c r="H5" s="14">
        <v>12404.400000000001</v>
      </c>
      <c r="I5" s="14">
        <v>8451.5800000000017</v>
      </c>
      <c r="J5" s="14">
        <v>14143.890000000003</v>
      </c>
      <c r="K5" s="14">
        <v>7802.6900000000023</v>
      </c>
      <c r="L5" s="14">
        <f t="shared" ref="L5:L68" si="3">K5+Q5-G5</f>
        <v>11042.350000000006</v>
      </c>
      <c r="M5" s="14">
        <f t="shared" ref="M5:M68" si="4">ROUND(IF(G5*M$87-L5&lt;0,0,G5*M$87-L5),0)</f>
        <v>76924</v>
      </c>
      <c r="N5" s="14">
        <v>294</v>
      </c>
      <c r="O5" s="14">
        <f t="shared" ref="O5:O68" si="5">ROUND(N5*O$87,0)</f>
        <v>2599</v>
      </c>
      <c r="P5" s="14">
        <f t="shared" si="0"/>
        <v>79523</v>
      </c>
      <c r="Q5" s="14">
        <v>113197</v>
      </c>
      <c r="R5" s="14">
        <f t="shared" si="1"/>
        <v>-36273</v>
      </c>
      <c r="S5" s="14">
        <v>919</v>
      </c>
      <c r="T5" s="14">
        <f t="shared" si="2"/>
        <v>1680</v>
      </c>
      <c r="U5" s="14">
        <v>58682.7</v>
      </c>
      <c r="V5" s="14">
        <f t="shared" ref="V5:V68" si="6">ROUND(IF(U5*1.65&gt;L5+M5,U5*1.65-(L5+M5),0),-3)</f>
        <v>9000</v>
      </c>
    </row>
    <row r="6" spans="1:22" x14ac:dyDescent="0.2">
      <c r="A6" s="20" t="s">
        <v>69</v>
      </c>
      <c r="B6" s="21" t="s">
        <v>136</v>
      </c>
      <c r="C6" s="14">
        <v>14104.92</v>
      </c>
      <c r="D6" s="14">
        <v>18730.79</v>
      </c>
      <c r="E6" s="14">
        <v>21267.37</v>
      </c>
      <c r="F6" s="14">
        <v>71745.679999999993</v>
      </c>
      <c r="G6" s="14">
        <v>82359.11</v>
      </c>
      <c r="H6" s="14">
        <v>3993.5399999999991</v>
      </c>
      <c r="I6" s="14">
        <v>3693.75</v>
      </c>
      <c r="J6" s="14">
        <v>-2536.619999999999</v>
      </c>
      <c r="K6" s="14">
        <v>2915.7000000000116</v>
      </c>
      <c r="L6" s="14">
        <f t="shared" si="3"/>
        <v>-2559.4099999999889</v>
      </c>
      <c r="M6" s="14">
        <f t="shared" si="4"/>
        <v>68447</v>
      </c>
      <c r="N6" s="14">
        <v>283</v>
      </c>
      <c r="O6" s="14">
        <f t="shared" si="5"/>
        <v>2502</v>
      </c>
      <c r="P6" s="14">
        <f t="shared" si="0"/>
        <v>70949</v>
      </c>
      <c r="Q6" s="14">
        <v>76884</v>
      </c>
      <c r="R6" s="14">
        <f t="shared" si="1"/>
        <v>-8437</v>
      </c>
      <c r="S6" s="14">
        <v>1100</v>
      </c>
      <c r="T6" s="14">
        <f t="shared" si="2"/>
        <v>1402</v>
      </c>
      <c r="U6" s="14">
        <v>59110.43</v>
      </c>
      <c r="V6" s="14">
        <f t="shared" si="6"/>
        <v>32000</v>
      </c>
    </row>
    <row r="7" spans="1:22" x14ac:dyDescent="0.2">
      <c r="A7" s="20" t="s">
        <v>69</v>
      </c>
      <c r="B7" s="21" t="s">
        <v>81</v>
      </c>
      <c r="C7" s="14">
        <v>27550.39</v>
      </c>
      <c r="D7" s="14">
        <v>36240.410000000003</v>
      </c>
      <c r="E7" s="14">
        <v>57349.599999999999</v>
      </c>
      <c r="F7" s="14">
        <v>268132.88</v>
      </c>
      <c r="G7" s="14">
        <v>222115.73</v>
      </c>
      <c r="H7" s="14">
        <v>5933.7599999999948</v>
      </c>
      <c r="I7" s="14">
        <v>-4738.6500000000087</v>
      </c>
      <c r="J7" s="14">
        <v>3589.7499999999927</v>
      </c>
      <c r="K7" s="14">
        <v>9074.8699999999953</v>
      </c>
      <c r="L7" s="14">
        <f t="shared" si="3"/>
        <v>22184.139999999985</v>
      </c>
      <c r="M7" s="14">
        <f t="shared" si="4"/>
        <v>155508</v>
      </c>
      <c r="N7" s="14">
        <v>657</v>
      </c>
      <c r="O7" s="14">
        <f t="shared" si="5"/>
        <v>5808</v>
      </c>
      <c r="P7" s="14">
        <f t="shared" si="0"/>
        <v>161316</v>
      </c>
      <c r="Q7" s="14">
        <v>235225</v>
      </c>
      <c r="R7" s="14">
        <f t="shared" si="1"/>
        <v>-79717</v>
      </c>
      <c r="S7" s="14">
        <v>2808</v>
      </c>
      <c r="T7" s="14">
        <f t="shared" si="2"/>
        <v>3000</v>
      </c>
      <c r="U7" s="14">
        <v>104759.65999999999</v>
      </c>
      <c r="V7" s="14">
        <f t="shared" si="6"/>
        <v>0</v>
      </c>
    </row>
    <row r="8" spans="1:22" x14ac:dyDescent="0.2">
      <c r="A8" s="20" t="s">
        <v>69</v>
      </c>
      <c r="B8" s="21" t="s">
        <v>135</v>
      </c>
      <c r="C8" s="14">
        <v>3811.79</v>
      </c>
      <c r="D8" s="14">
        <v>2139.6999999999998</v>
      </c>
      <c r="E8" s="14">
        <v>2807.98</v>
      </c>
      <c r="F8" s="14">
        <v>35363.370000000003</v>
      </c>
      <c r="G8" s="14">
        <v>22249.55</v>
      </c>
      <c r="H8" s="14">
        <v>1767.79</v>
      </c>
      <c r="I8" s="14">
        <v>1672.0900000000001</v>
      </c>
      <c r="J8" s="14">
        <v>-63.889999999999873</v>
      </c>
      <c r="K8" s="14">
        <v>7727.739999999998</v>
      </c>
      <c r="L8" s="14">
        <f t="shared" si="3"/>
        <v>9577.1899999999987</v>
      </c>
      <c r="M8" s="14">
        <f t="shared" si="4"/>
        <v>8222</v>
      </c>
      <c r="N8" s="14">
        <v>67</v>
      </c>
      <c r="O8" s="14">
        <f t="shared" si="5"/>
        <v>592</v>
      </c>
      <c r="P8" s="14">
        <f t="shared" si="0"/>
        <v>8814</v>
      </c>
      <c r="Q8" s="14">
        <v>24099</v>
      </c>
      <c r="R8" s="14">
        <f t="shared" si="1"/>
        <v>-15877</v>
      </c>
      <c r="S8" s="14">
        <v>207</v>
      </c>
      <c r="T8" s="14">
        <f t="shared" si="2"/>
        <v>385</v>
      </c>
      <c r="U8" s="14">
        <v>1620.8600000000001</v>
      </c>
      <c r="V8" s="14">
        <f t="shared" si="6"/>
        <v>0</v>
      </c>
    </row>
    <row r="9" spans="1:22" x14ac:dyDescent="0.2">
      <c r="A9" s="20" t="s">
        <v>69</v>
      </c>
      <c r="B9" s="21" t="s">
        <v>134</v>
      </c>
      <c r="C9" s="14">
        <v>56772.62</v>
      </c>
      <c r="D9" s="14">
        <v>67012.539999999994</v>
      </c>
      <c r="E9" s="14">
        <v>92735.76</v>
      </c>
      <c r="F9" s="14">
        <v>298205.53999999998</v>
      </c>
      <c r="G9" s="14">
        <v>344791.16</v>
      </c>
      <c r="H9" s="14">
        <v>11180.68</v>
      </c>
      <c r="I9" s="14">
        <v>-7873.8599999999933</v>
      </c>
      <c r="J9" s="14">
        <v>7298.3800000000192</v>
      </c>
      <c r="K9" s="14">
        <v>7464.8400000000256</v>
      </c>
      <c r="L9" s="14">
        <f t="shared" si="3"/>
        <v>36908.680000000051</v>
      </c>
      <c r="M9" s="14">
        <f t="shared" si="4"/>
        <v>238924</v>
      </c>
      <c r="N9" s="14">
        <v>928</v>
      </c>
      <c r="O9" s="14">
        <f t="shared" si="5"/>
        <v>8204</v>
      </c>
      <c r="P9" s="14">
        <f t="shared" si="0"/>
        <v>247128</v>
      </c>
      <c r="Q9" s="14">
        <v>374235</v>
      </c>
      <c r="R9" s="14">
        <f t="shared" si="1"/>
        <v>-135311</v>
      </c>
      <c r="S9" s="14">
        <v>3203</v>
      </c>
      <c r="T9" s="14">
        <f t="shared" si="2"/>
        <v>5001</v>
      </c>
      <c r="U9" s="14">
        <v>146090.31999999998</v>
      </c>
      <c r="V9" s="14">
        <f t="shared" si="6"/>
        <v>0</v>
      </c>
    </row>
    <row r="10" spans="1:22" x14ac:dyDescent="0.2">
      <c r="A10" s="20" t="s">
        <v>69</v>
      </c>
      <c r="B10" s="21" t="s">
        <v>133</v>
      </c>
      <c r="C10" s="14">
        <v>30517.18</v>
      </c>
      <c r="D10" s="14">
        <v>28692.6</v>
      </c>
      <c r="E10" s="14">
        <v>15696.09</v>
      </c>
      <c r="F10" s="14">
        <v>46107.15</v>
      </c>
      <c r="G10" s="14">
        <v>27338.54</v>
      </c>
      <c r="H10" s="14">
        <v>11509.080000000002</v>
      </c>
      <c r="I10" s="14">
        <v>2430.4800000000032</v>
      </c>
      <c r="J10" s="14">
        <v>12996.390000000003</v>
      </c>
      <c r="K10" s="14">
        <v>6214.239999999998</v>
      </c>
      <c r="L10" s="14">
        <f t="shared" si="3"/>
        <v>14157.699999999997</v>
      </c>
      <c r="M10" s="14">
        <f t="shared" si="4"/>
        <v>7713</v>
      </c>
      <c r="N10" s="14">
        <v>110</v>
      </c>
      <c r="O10" s="14">
        <f t="shared" si="5"/>
        <v>972</v>
      </c>
      <c r="P10" s="14">
        <f t="shared" si="0"/>
        <v>8685</v>
      </c>
      <c r="Q10" s="14">
        <v>35282</v>
      </c>
      <c r="R10" s="14">
        <f t="shared" si="1"/>
        <v>-27569</v>
      </c>
      <c r="S10" s="14">
        <v>615</v>
      </c>
      <c r="T10" s="14">
        <f t="shared" si="2"/>
        <v>357</v>
      </c>
      <c r="U10" s="14">
        <v>15147.48</v>
      </c>
      <c r="V10" s="14">
        <f t="shared" si="6"/>
        <v>3000</v>
      </c>
    </row>
    <row r="11" spans="1:22" x14ac:dyDescent="0.2">
      <c r="A11" s="20" t="s">
        <v>69</v>
      </c>
      <c r="B11" s="21" t="s">
        <v>83</v>
      </c>
      <c r="C11" s="14">
        <v>166663.56</v>
      </c>
      <c r="D11" s="14">
        <v>199373.45</v>
      </c>
      <c r="E11" s="14">
        <v>182470</v>
      </c>
      <c r="F11" s="14">
        <v>303997.49</v>
      </c>
      <c r="G11" s="14">
        <v>302287.28000000003</v>
      </c>
      <c r="H11" s="14">
        <v>24079.76999999999</v>
      </c>
      <c r="I11" s="14">
        <v>5766.3199999999779</v>
      </c>
      <c r="J11" s="14">
        <v>16903.319999999978</v>
      </c>
      <c r="K11" s="14">
        <v>11092.829999999958</v>
      </c>
      <c r="L11" s="14">
        <f t="shared" si="3"/>
        <v>-5287.4500000000698</v>
      </c>
      <c r="M11" s="14">
        <f t="shared" si="4"/>
        <v>247117</v>
      </c>
      <c r="N11" s="14">
        <v>878</v>
      </c>
      <c r="O11" s="14">
        <f t="shared" si="5"/>
        <v>7762</v>
      </c>
      <c r="P11" s="14">
        <f t="shared" si="0"/>
        <v>254879</v>
      </c>
      <c r="Q11" s="14">
        <v>285907</v>
      </c>
      <c r="R11" s="14">
        <f t="shared" si="1"/>
        <v>-38790</v>
      </c>
      <c r="S11" s="14">
        <v>4535</v>
      </c>
      <c r="T11" s="14">
        <f t="shared" si="2"/>
        <v>3227</v>
      </c>
      <c r="U11" s="14">
        <v>183805.06</v>
      </c>
      <c r="V11" s="14">
        <f t="shared" si="6"/>
        <v>61000</v>
      </c>
    </row>
    <row r="12" spans="1:22" x14ac:dyDescent="0.2">
      <c r="A12" s="20" t="s">
        <v>69</v>
      </c>
      <c r="B12" s="21" t="s">
        <v>231</v>
      </c>
      <c r="C12" s="14">
        <v>480631.54</v>
      </c>
      <c r="D12" s="14">
        <v>489991.1</v>
      </c>
      <c r="E12" s="14">
        <v>475741</v>
      </c>
      <c r="F12" s="14">
        <v>829297.76</v>
      </c>
      <c r="G12" s="14">
        <v>845863.29</v>
      </c>
      <c r="H12" s="14">
        <v>50111.950000000012</v>
      </c>
      <c r="I12" s="14">
        <v>1051.8500000000349</v>
      </c>
      <c r="J12" s="14">
        <v>52765.850000000093</v>
      </c>
      <c r="K12" s="14">
        <v>22579.090000000084</v>
      </c>
      <c r="L12" s="14">
        <f t="shared" si="3"/>
        <v>66236.800000000047</v>
      </c>
      <c r="M12" s="14">
        <f t="shared" si="4"/>
        <v>610454</v>
      </c>
      <c r="N12" s="14">
        <v>2408</v>
      </c>
      <c r="O12" s="14">
        <f t="shared" si="5"/>
        <v>21287</v>
      </c>
      <c r="P12" s="14">
        <f t="shared" si="0"/>
        <v>631741</v>
      </c>
      <c r="Q12" s="14">
        <v>889521</v>
      </c>
      <c r="R12" s="14">
        <f t="shared" si="1"/>
        <v>-279067</v>
      </c>
      <c r="S12" s="14">
        <v>13619</v>
      </c>
      <c r="T12" s="14">
        <f t="shared" si="2"/>
        <v>7668</v>
      </c>
      <c r="U12" s="14">
        <v>407373.85</v>
      </c>
      <c r="V12" s="14">
        <f t="shared" si="6"/>
        <v>0</v>
      </c>
    </row>
    <row r="13" spans="1:22" x14ac:dyDescent="0.2">
      <c r="A13" s="20" t="s">
        <v>69</v>
      </c>
      <c r="B13" s="21" t="s">
        <v>68</v>
      </c>
      <c r="C13" s="14">
        <v>540726.15</v>
      </c>
      <c r="D13" s="14">
        <v>410297.77</v>
      </c>
      <c r="E13" s="14">
        <v>278784.28000000003</v>
      </c>
      <c r="F13" s="14">
        <v>631984.23</v>
      </c>
      <c r="G13" s="14">
        <v>836329.89</v>
      </c>
      <c r="H13" s="14">
        <v>35375.369999999995</v>
      </c>
      <c r="I13" s="14">
        <v>130428.59999999998</v>
      </c>
      <c r="J13" s="14">
        <v>131513.31999999995</v>
      </c>
      <c r="K13" s="14">
        <v>74500.089999999967</v>
      </c>
      <c r="L13" s="14">
        <f t="shared" si="3"/>
        <v>-16329.800000000047</v>
      </c>
      <c r="M13" s="14">
        <f t="shared" si="4"/>
        <v>685394</v>
      </c>
      <c r="N13" s="14">
        <v>2483</v>
      </c>
      <c r="O13" s="14">
        <f t="shared" si="5"/>
        <v>21950</v>
      </c>
      <c r="P13" s="14">
        <f t="shared" si="0"/>
        <v>707344</v>
      </c>
      <c r="Q13" s="14">
        <v>745500</v>
      </c>
      <c r="R13" s="14">
        <f t="shared" si="1"/>
        <v>-60106</v>
      </c>
      <c r="S13" s="14">
        <v>9763</v>
      </c>
      <c r="T13" s="14">
        <f t="shared" si="2"/>
        <v>12187</v>
      </c>
      <c r="U13" s="14">
        <v>493664.17</v>
      </c>
      <c r="V13" s="14">
        <f t="shared" si="6"/>
        <v>145000</v>
      </c>
    </row>
    <row r="14" spans="1:22" x14ac:dyDescent="0.2">
      <c r="A14" s="20" t="s">
        <v>69</v>
      </c>
      <c r="B14" s="21" t="s">
        <v>132</v>
      </c>
      <c r="C14" s="14">
        <v>10991.8</v>
      </c>
      <c r="D14" s="14">
        <v>14259.93</v>
      </c>
      <c r="E14" s="14">
        <v>14507.49</v>
      </c>
      <c r="F14" s="14">
        <v>39106.93</v>
      </c>
      <c r="G14" s="14">
        <v>46295.5</v>
      </c>
      <c r="H14" s="14">
        <v>1908.0600000000013</v>
      </c>
      <c r="I14" s="14">
        <v>49.130000000001019</v>
      </c>
      <c r="J14" s="14">
        <v>1580.6400000000012</v>
      </c>
      <c r="K14" s="14">
        <v>-188.29000000000087</v>
      </c>
      <c r="L14" s="14">
        <f t="shared" si="3"/>
        <v>1804.2099999999991</v>
      </c>
      <c r="M14" s="14">
        <f t="shared" si="4"/>
        <v>35232</v>
      </c>
      <c r="N14" s="14">
        <v>178</v>
      </c>
      <c r="O14" s="14">
        <f t="shared" si="5"/>
        <v>1574</v>
      </c>
      <c r="P14" s="14">
        <f t="shared" si="0"/>
        <v>36806</v>
      </c>
      <c r="Q14" s="14">
        <v>48288</v>
      </c>
      <c r="R14" s="14">
        <f t="shared" si="1"/>
        <v>-13056</v>
      </c>
      <c r="S14" s="14">
        <v>757</v>
      </c>
      <c r="T14" s="14">
        <f t="shared" si="2"/>
        <v>817</v>
      </c>
      <c r="U14" s="14">
        <v>18958.650000000001</v>
      </c>
      <c r="V14" s="14">
        <f t="shared" si="6"/>
        <v>0</v>
      </c>
    </row>
    <row r="15" spans="1:22" x14ac:dyDescent="0.2">
      <c r="A15" s="20" t="s">
        <v>69</v>
      </c>
      <c r="B15" s="21" t="s">
        <v>131</v>
      </c>
      <c r="C15" s="14">
        <v>17024.919999999998</v>
      </c>
      <c r="D15" s="14">
        <v>26559.17</v>
      </c>
      <c r="E15" s="14">
        <v>29247.09</v>
      </c>
      <c r="F15" s="14">
        <v>144948.74</v>
      </c>
      <c r="G15" s="14">
        <v>126433.83</v>
      </c>
      <c r="H15" s="14">
        <v>2745.8700000000026</v>
      </c>
      <c r="I15" s="14">
        <v>2462.7000000000044</v>
      </c>
      <c r="J15" s="14">
        <v>537.61000000000422</v>
      </c>
      <c r="K15" s="14">
        <v>5722.8700000000244</v>
      </c>
      <c r="L15" s="14">
        <f t="shared" si="3"/>
        <v>15666.040000000023</v>
      </c>
      <c r="M15" s="14">
        <f t="shared" si="4"/>
        <v>85481</v>
      </c>
      <c r="N15" s="14">
        <v>297</v>
      </c>
      <c r="O15" s="14">
        <f t="shared" si="5"/>
        <v>2625</v>
      </c>
      <c r="P15" s="14">
        <f t="shared" si="0"/>
        <v>88106</v>
      </c>
      <c r="Q15" s="14">
        <v>136377</v>
      </c>
      <c r="R15" s="14">
        <f t="shared" si="1"/>
        <v>-50896</v>
      </c>
      <c r="S15" s="14">
        <v>1093</v>
      </c>
      <c r="T15" s="14">
        <f t="shared" si="2"/>
        <v>1532</v>
      </c>
      <c r="U15" s="14">
        <v>62628.59</v>
      </c>
      <c r="V15" s="14">
        <f t="shared" si="6"/>
        <v>2000</v>
      </c>
    </row>
    <row r="16" spans="1:22" x14ac:dyDescent="0.2">
      <c r="A16" s="20" t="s">
        <v>69</v>
      </c>
      <c r="B16" s="21" t="s">
        <v>130</v>
      </c>
      <c r="C16" s="14">
        <v>9573.7900000000009</v>
      </c>
      <c r="D16" s="14">
        <v>20240.27</v>
      </c>
      <c r="E16" s="14">
        <v>30258.32</v>
      </c>
      <c r="F16" s="14">
        <v>110341.23</v>
      </c>
      <c r="G16" s="14">
        <v>135849.93</v>
      </c>
      <c r="H16" s="14">
        <v>2886.2199999999975</v>
      </c>
      <c r="I16" s="14">
        <v>-5840.0500000000029</v>
      </c>
      <c r="J16" s="14">
        <v>3115.6299999999974</v>
      </c>
      <c r="K16" s="14">
        <v>4832.4000000000087</v>
      </c>
      <c r="L16" s="14">
        <f t="shared" si="3"/>
        <v>3350.4700000000303</v>
      </c>
      <c r="M16" s="14">
        <f t="shared" si="4"/>
        <v>105329</v>
      </c>
      <c r="N16" s="14">
        <v>401</v>
      </c>
      <c r="O16" s="14">
        <f t="shared" si="5"/>
        <v>3545</v>
      </c>
      <c r="P16" s="14">
        <f t="shared" si="0"/>
        <v>108874</v>
      </c>
      <c r="Q16" s="14">
        <v>134368</v>
      </c>
      <c r="R16" s="14">
        <f t="shared" si="1"/>
        <v>-29039</v>
      </c>
      <c r="S16" s="14">
        <v>1734</v>
      </c>
      <c r="T16" s="14">
        <f t="shared" si="2"/>
        <v>1811</v>
      </c>
      <c r="U16" s="14">
        <v>73633.33</v>
      </c>
      <c r="V16" s="14">
        <f t="shared" si="6"/>
        <v>13000</v>
      </c>
    </row>
    <row r="17" spans="1:22" x14ac:dyDescent="0.2">
      <c r="A17" s="20" t="s">
        <v>69</v>
      </c>
      <c r="B17" s="21" t="s">
        <v>129</v>
      </c>
      <c r="C17" s="14">
        <v>191907.65</v>
      </c>
      <c r="D17" s="14">
        <v>226179.55</v>
      </c>
      <c r="E17" s="14">
        <v>288469.09999999998</v>
      </c>
      <c r="F17" s="14">
        <v>622422.17000000004</v>
      </c>
      <c r="G17" s="14">
        <v>624487.87</v>
      </c>
      <c r="H17" s="14">
        <v>-3400.5099999999802</v>
      </c>
      <c r="I17" s="14">
        <v>-9259.0599999999686</v>
      </c>
      <c r="J17" s="14">
        <v>30321.840000000084</v>
      </c>
      <c r="K17" s="14">
        <v>20497.670000000042</v>
      </c>
      <c r="L17" s="14">
        <f t="shared" si="3"/>
        <v>-288.19999999995343</v>
      </c>
      <c r="M17" s="14">
        <f t="shared" si="4"/>
        <v>499878</v>
      </c>
      <c r="N17" s="14">
        <v>1652</v>
      </c>
      <c r="O17" s="14">
        <f t="shared" si="5"/>
        <v>14604</v>
      </c>
      <c r="P17" s="14">
        <f t="shared" si="0"/>
        <v>514482</v>
      </c>
      <c r="Q17" s="14">
        <v>603702</v>
      </c>
      <c r="R17" s="14">
        <f t="shared" si="1"/>
        <v>-103824</v>
      </c>
      <c r="S17" s="14">
        <v>9259</v>
      </c>
      <c r="T17" s="14">
        <f t="shared" si="2"/>
        <v>5345</v>
      </c>
      <c r="U17" s="14">
        <v>426842.85</v>
      </c>
      <c r="V17" s="14">
        <f t="shared" si="6"/>
        <v>205000</v>
      </c>
    </row>
    <row r="18" spans="1:22" x14ac:dyDescent="0.2">
      <c r="A18" s="20" t="s">
        <v>69</v>
      </c>
      <c r="B18" s="22" t="s">
        <v>213</v>
      </c>
      <c r="C18" s="14">
        <v>3388365.5799999996</v>
      </c>
      <c r="D18" s="14">
        <v>3986525.13</v>
      </c>
      <c r="E18" s="14">
        <v>4600738.8</v>
      </c>
      <c r="F18" s="14">
        <v>15106470.83</v>
      </c>
      <c r="G18" s="14">
        <v>18152975.260000002</v>
      </c>
      <c r="H18" s="14">
        <v>196132.65000000037</v>
      </c>
      <c r="I18" s="14">
        <v>-80973.479999999516</v>
      </c>
      <c r="J18" s="14">
        <v>276128.72000000067</v>
      </c>
      <c r="K18" s="14">
        <v>252647.8900000006</v>
      </c>
      <c r="L18" s="14">
        <f t="shared" si="3"/>
        <v>323324.62999999896</v>
      </c>
      <c r="M18" s="14">
        <f t="shared" si="4"/>
        <v>14199056</v>
      </c>
      <c r="N18" s="14">
        <v>43104</v>
      </c>
      <c r="O18" s="14">
        <f t="shared" si="5"/>
        <v>381039</v>
      </c>
      <c r="P18" s="14">
        <f t="shared" si="0"/>
        <v>14580095</v>
      </c>
      <c r="Q18" s="14">
        <v>18223652</v>
      </c>
      <c r="R18" s="14">
        <f t="shared" si="1"/>
        <v>-4024596</v>
      </c>
      <c r="S18" s="14">
        <v>154698</v>
      </c>
      <c r="T18" s="14">
        <f t="shared" si="2"/>
        <v>226341</v>
      </c>
      <c r="U18" s="14">
        <v>9304137.6799999997</v>
      </c>
      <c r="V18" s="14">
        <f t="shared" si="6"/>
        <v>829000</v>
      </c>
    </row>
    <row r="19" spans="1:22" x14ac:dyDescent="0.2">
      <c r="A19" s="20" t="s">
        <v>69</v>
      </c>
      <c r="B19" s="21" t="s">
        <v>128</v>
      </c>
      <c r="C19" s="14">
        <v>44396.14</v>
      </c>
      <c r="D19" s="14">
        <v>95211.12</v>
      </c>
      <c r="E19" s="14">
        <v>104762.12</v>
      </c>
      <c r="F19" s="14">
        <v>267564.87</v>
      </c>
      <c r="G19" s="14">
        <v>262529.71000000002</v>
      </c>
      <c r="H19" s="14">
        <v>20484.919999999998</v>
      </c>
      <c r="I19" s="14">
        <v>-1950.1999999999971</v>
      </c>
      <c r="J19" s="14">
        <v>21025.680000000008</v>
      </c>
      <c r="K19" s="14">
        <v>21016.809999999998</v>
      </c>
      <c r="L19" s="14">
        <f t="shared" si="3"/>
        <v>6170.0999999999767</v>
      </c>
      <c r="M19" s="14">
        <f t="shared" si="4"/>
        <v>203854</v>
      </c>
      <c r="N19" s="14">
        <v>492</v>
      </c>
      <c r="O19" s="14">
        <f t="shared" si="5"/>
        <v>4349</v>
      </c>
      <c r="P19" s="14">
        <f t="shared" si="0"/>
        <v>208203</v>
      </c>
      <c r="Q19" s="14">
        <v>247683</v>
      </c>
      <c r="R19" s="14">
        <f t="shared" si="1"/>
        <v>-43829</v>
      </c>
      <c r="S19" s="14">
        <v>2155</v>
      </c>
      <c r="T19" s="14">
        <f t="shared" si="2"/>
        <v>2194</v>
      </c>
      <c r="U19" s="14">
        <v>133305.79999999999</v>
      </c>
      <c r="V19" s="14">
        <f t="shared" si="6"/>
        <v>10000</v>
      </c>
    </row>
    <row r="20" spans="1:22" x14ac:dyDescent="0.2">
      <c r="A20" s="20" t="s">
        <v>67</v>
      </c>
      <c r="B20" s="21" t="s">
        <v>217</v>
      </c>
      <c r="C20" s="14">
        <v>265133.46999999997</v>
      </c>
      <c r="D20" s="14">
        <v>219896.89</v>
      </c>
      <c r="E20" s="14">
        <v>175148.26</v>
      </c>
      <c r="F20" s="14">
        <v>188319.78</v>
      </c>
      <c r="G20" s="14">
        <v>192064.91</v>
      </c>
      <c r="H20" s="14">
        <v>55944.030000000028</v>
      </c>
      <c r="I20" s="14">
        <v>45236.140000000014</v>
      </c>
      <c r="J20" s="14">
        <v>46624.880000000005</v>
      </c>
      <c r="K20" s="14">
        <v>16013.100000000006</v>
      </c>
      <c r="L20" s="14">
        <f t="shared" si="3"/>
        <v>6235.1900000000023</v>
      </c>
      <c r="M20" s="14">
        <f t="shared" si="4"/>
        <v>147417</v>
      </c>
      <c r="N20" s="14">
        <v>633</v>
      </c>
      <c r="O20" s="14">
        <f t="shared" si="5"/>
        <v>5596</v>
      </c>
      <c r="P20" s="14">
        <f t="shared" si="0"/>
        <v>153013</v>
      </c>
      <c r="Q20" s="14">
        <v>182287</v>
      </c>
      <c r="R20" s="14">
        <f t="shared" si="1"/>
        <v>-34870</v>
      </c>
      <c r="S20" s="14">
        <v>4626</v>
      </c>
      <c r="T20" s="14">
        <f t="shared" si="2"/>
        <v>970</v>
      </c>
      <c r="U20" s="14">
        <v>142871.56</v>
      </c>
      <c r="V20" s="14">
        <f t="shared" si="6"/>
        <v>82000</v>
      </c>
    </row>
    <row r="21" spans="1:22" x14ac:dyDescent="0.2">
      <c r="A21" s="20" t="s">
        <v>58</v>
      </c>
      <c r="B21" s="21" t="s">
        <v>218</v>
      </c>
      <c r="C21" s="14">
        <v>72451.34</v>
      </c>
      <c r="D21" s="14">
        <v>70615.42</v>
      </c>
      <c r="E21" s="14">
        <v>62090.720000000001</v>
      </c>
      <c r="F21" s="14">
        <v>141383.44</v>
      </c>
      <c r="G21" s="14">
        <v>138927.01999999999</v>
      </c>
      <c r="H21" s="14">
        <v>6269.2700000000186</v>
      </c>
      <c r="I21" s="14">
        <v>3093.8500000000204</v>
      </c>
      <c r="J21" s="14">
        <v>11663.130000000019</v>
      </c>
      <c r="K21" s="14">
        <v>10299.690000000002</v>
      </c>
      <c r="L21" s="14">
        <f t="shared" si="3"/>
        <v>9372.6700000000128</v>
      </c>
      <c r="M21" s="14">
        <f t="shared" si="4"/>
        <v>101769</v>
      </c>
      <c r="N21" s="14">
        <v>431</v>
      </c>
      <c r="O21" s="14">
        <f t="shared" si="5"/>
        <v>3810</v>
      </c>
      <c r="P21" s="14">
        <f t="shared" si="0"/>
        <v>105579</v>
      </c>
      <c r="Q21" s="14">
        <v>138000</v>
      </c>
      <c r="R21" s="14">
        <f t="shared" si="1"/>
        <v>-36231</v>
      </c>
      <c r="S21" s="14">
        <v>2323</v>
      </c>
      <c r="T21" s="14">
        <f t="shared" si="2"/>
        <v>1487</v>
      </c>
      <c r="U21" s="14">
        <v>70759.009999999995</v>
      </c>
      <c r="V21" s="14">
        <f t="shared" si="6"/>
        <v>6000</v>
      </c>
    </row>
    <row r="22" spans="1:22" x14ac:dyDescent="0.2">
      <c r="A22" s="20" t="s">
        <v>58</v>
      </c>
      <c r="B22" s="21" t="s">
        <v>127</v>
      </c>
      <c r="C22" s="14">
        <v>268465.23</v>
      </c>
      <c r="D22" s="14">
        <v>252792.2</v>
      </c>
      <c r="E22" s="14">
        <v>239745.14</v>
      </c>
      <c r="F22" s="14">
        <v>493804.4</v>
      </c>
      <c r="G22" s="14">
        <v>769321.22</v>
      </c>
      <c r="H22" s="14">
        <v>57200.390000000014</v>
      </c>
      <c r="I22" s="14">
        <v>15673.190000000002</v>
      </c>
      <c r="J22" s="14">
        <v>39335.049999999988</v>
      </c>
      <c r="K22" s="14">
        <v>11540.649999999965</v>
      </c>
      <c r="L22" s="14">
        <f t="shared" si="3"/>
        <v>6078.4299999999348</v>
      </c>
      <c r="M22" s="14">
        <f t="shared" si="4"/>
        <v>609379</v>
      </c>
      <c r="N22" s="14">
        <v>2570</v>
      </c>
      <c r="O22" s="14">
        <f t="shared" si="5"/>
        <v>22719</v>
      </c>
      <c r="P22" s="14">
        <f t="shared" si="0"/>
        <v>632098</v>
      </c>
      <c r="Q22" s="14">
        <v>763859</v>
      </c>
      <c r="R22" s="14">
        <f t="shared" si="1"/>
        <v>-154480</v>
      </c>
      <c r="S22" s="14">
        <v>8773</v>
      </c>
      <c r="T22" s="14">
        <f t="shared" si="2"/>
        <v>13946</v>
      </c>
      <c r="U22" s="14">
        <v>493231.64999999997</v>
      </c>
      <c r="V22" s="14">
        <f t="shared" si="6"/>
        <v>198000</v>
      </c>
    </row>
    <row r="23" spans="1:22" x14ac:dyDescent="0.2">
      <c r="A23" s="20" t="s">
        <v>58</v>
      </c>
      <c r="B23" s="21" t="s">
        <v>57</v>
      </c>
      <c r="C23" s="14">
        <v>950760.27</v>
      </c>
      <c r="D23" s="14">
        <v>843057.61</v>
      </c>
      <c r="E23" s="14">
        <v>789976.57</v>
      </c>
      <c r="F23" s="14">
        <v>1236954.75</v>
      </c>
      <c r="G23" s="14">
        <v>1552466.19</v>
      </c>
      <c r="H23" s="14">
        <v>261373.94999999995</v>
      </c>
      <c r="I23" s="14">
        <v>107702.33999999997</v>
      </c>
      <c r="J23" s="14">
        <v>123984.77000000002</v>
      </c>
      <c r="K23" s="14">
        <v>-4267.9799999999814</v>
      </c>
      <c r="L23" s="14">
        <f t="shared" si="3"/>
        <v>3133.8300000000745</v>
      </c>
      <c r="M23" s="14">
        <f t="shared" si="4"/>
        <v>1238839</v>
      </c>
      <c r="N23" s="14">
        <v>4739</v>
      </c>
      <c r="O23" s="14">
        <f t="shared" si="5"/>
        <v>41893</v>
      </c>
      <c r="P23" s="14">
        <f t="shared" si="0"/>
        <v>1280732</v>
      </c>
      <c r="Q23" s="14">
        <v>1559868</v>
      </c>
      <c r="R23" s="14">
        <f t="shared" si="1"/>
        <v>-321029</v>
      </c>
      <c r="S23" s="14">
        <v>23848</v>
      </c>
      <c r="T23" s="14">
        <f t="shared" si="2"/>
        <v>18045</v>
      </c>
      <c r="U23" s="14">
        <v>970410.61</v>
      </c>
      <c r="V23" s="14">
        <f t="shared" si="6"/>
        <v>359000</v>
      </c>
    </row>
    <row r="24" spans="1:22" x14ac:dyDescent="0.2">
      <c r="A24" s="20" t="s">
        <v>58</v>
      </c>
      <c r="B24" s="21" t="s">
        <v>126</v>
      </c>
      <c r="C24" s="14">
        <v>184634.42</v>
      </c>
      <c r="D24" s="14">
        <v>182546.97</v>
      </c>
      <c r="E24" s="14">
        <v>187930.64</v>
      </c>
      <c r="F24" s="14">
        <v>392732.26</v>
      </c>
      <c r="G24" s="14">
        <v>469533.09</v>
      </c>
      <c r="H24" s="14">
        <v>79951.59</v>
      </c>
      <c r="I24" s="14">
        <v>2087.6199999999953</v>
      </c>
      <c r="J24" s="14">
        <v>26321.979999999981</v>
      </c>
      <c r="K24" s="14">
        <v>8908.7199999999721</v>
      </c>
      <c r="L24" s="14">
        <f t="shared" si="3"/>
        <v>5966.6299999999464</v>
      </c>
      <c r="M24" s="14">
        <f t="shared" si="4"/>
        <v>369660</v>
      </c>
      <c r="N24" s="14">
        <v>1503</v>
      </c>
      <c r="O24" s="14">
        <f t="shared" si="5"/>
        <v>13287</v>
      </c>
      <c r="P24" s="14">
        <f t="shared" si="0"/>
        <v>382947</v>
      </c>
      <c r="Q24" s="14">
        <v>466591</v>
      </c>
      <c r="R24" s="14">
        <f t="shared" si="1"/>
        <v>-96931</v>
      </c>
      <c r="S24" s="14">
        <v>6923</v>
      </c>
      <c r="T24" s="14">
        <f t="shared" si="2"/>
        <v>6364</v>
      </c>
      <c r="U24" s="14">
        <v>321730.81</v>
      </c>
      <c r="V24" s="14">
        <f t="shared" si="6"/>
        <v>155000</v>
      </c>
    </row>
    <row r="25" spans="1:22" x14ac:dyDescent="0.2">
      <c r="A25" s="20" t="s">
        <v>58</v>
      </c>
      <c r="B25" s="21" t="s">
        <v>59</v>
      </c>
      <c r="C25" s="14">
        <v>782527.59</v>
      </c>
      <c r="D25" s="14">
        <v>722246.89</v>
      </c>
      <c r="E25" s="14">
        <v>741809.01</v>
      </c>
      <c r="F25" s="14">
        <v>1052130.8</v>
      </c>
      <c r="G25" s="14">
        <v>1419244.24</v>
      </c>
      <c r="H25" s="14">
        <v>255544.17999999993</v>
      </c>
      <c r="I25" s="14">
        <v>60280.289999999921</v>
      </c>
      <c r="J25" s="14">
        <v>70697.279999999912</v>
      </c>
      <c r="K25" s="14">
        <v>19884.479999999749</v>
      </c>
      <c r="L25" s="14">
        <f t="shared" si="3"/>
        <v>-27443.760000000242</v>
      </c>
      <c r="M25" s="14">
        <f t="shared" si="4"/>
        <v>1162839</v>
      </c>
      <c r="N25" s="14">
        <v>4580</v>
      </c>
      <c r="O25" s="14">
        <f t="shared" si="5"/>
        <v>40487</v>
      </c>
      <c r="P25" s="14">
        <f t="shared" si="0"/>
        <v>1203326</v>
      </c>
      <c r="Q25" s="14">
        <v>1371916</v>
      </c>
      <c r="R25" s="14">
        <f t="shared" si="1"/>
        <v>-209077</v>
      </c>
      <c r="S25" s="14">
        <v>24030</v>
      </c>
      <c r="T25" s="14">
        <f t="shared" si="2"/>
        <v>16457</v>
      </c>
      <c r="U25" s="14">
        <v>1058377.76</v>
      </c>
      <c r="V25" s="14">
        <f t="shared" si="6"/>
        <v>611000</v>
      </c>
    </row>
    <row r="26" spans="1:22" x14ac:dyDescent="0.2">
      <c r="A26" s="20" t="s">
        <v>58</v>
      </c>
      <c r="B26" s="21" t="s">
        <v>62</v>
      </c>
      <c r="C26" s="14">
        <v>111341.73</v>
      </c>
      <c r="D26" s="14">
        <v>110031.49</v>
      </c>
      <c r="E26" s="14">
        <v>99015.73</v>
      </c>
      <c r="F26" s="14">
        <v>168779.54</v>
      </c>
      <c r="G26" s="14">
        <v>187393.66</v>
      </c>
      <c r="H26" s="14">
        <v>22013.300000000003</v>
      </c>
      <c r="I26" s="14">
        <v>1309.8099999999977</v>
      </c>
      <c r="J26" s="14">
        <v>12718.080000000002</v>
      </c>
      <c r="K26" s="14">
        <v>-9195.4599999999919</v>
      </c>
      <c r="L26" s="14">
        <f t="shared" si="3"/>
        <v>11905.880000000005</v>
      </c>
      <c r="M26" s="14">
        <f t="shared" si="4"/>
        <v>138009</v>
      </c>
      <c r="N26" s="14">
        <v>614</v>
      </c>
      <c r="O26" s="14">
        <f t="shared" si="5"/>
        <v>5428</v>
      </c>
      <c r="P26" s="14">
        <f t="shared" si="0"/>
        <v>143437</v>
      </c>
      <c r="Q26" s="14">
        <v>208495</v>
      </c>
      <c r="R26" s="14">
        <f t="shared" si="1"/>
        <v>-70486</v>
      </c>
      <c r="S26" s="14">
        <v>3753</v>
      </c>
      <c r="T26" s="14">
        <f t="shared" si="2"/>
        <v>1675</v>
      </c>
      <c r="U26" s="14">
        <v>106019.48999999999</v>
      </c>
      <c r="V26" s="14">
        <f t="shared" si="6"/>
        <v>25000</v>
      </c>
    </row>
    <row r="27" spans="1:22" x14ac:dyDescent="0.2">
      <c r="A27" s="20" t="s">
        <v>58</v>
      </c>
      <c r="B27" s="21" t="s">
        <v>61</v>
      </c>
      <c r="C27" s="14">
        <v>238231.25</v>
      </c>
      <c r="D27" s="14">
        <v>222492.81</v>
      </c>
      <c r="E27" s="14">
        <v>230714.95</v>
      </c>
      <c r="F27" s="14">
        <v>396871.14</v>
      </c>
      <c r="G27" s="14">
        <v>540062.91</v>
      </c>
      <c r="H27" s="14">
        <v>51984.210000000021</v>
      </c>
      <c r="I27" s="14">
        <v>15738.400000000023</v>
      </c>
      <c r="J27" s="14">
        <v>25723.450000000012</v>
      </c>
      <c r="K27" s="14">
        <v>9604.3099999999977</v>
      </c>
      <c r="L27" s="14">
        <f t="shared" si="3"/>
        <v>-262.59999999997672</v>
      </c>
      <c r="M27" s="14">
        <f t="shared" si="4"/>
        <v>432313</v>
      </c>
      <c r="N27" s="14">
        <v>1958</v>
      </c>
      <c r="O27" s="14">
        <f t="shared" si="5"/>
        <v>17309</v>
      </c>
      <c r="P27" s="14">
        <f t="shared" si="0"/>
        <v>449622</v>
      </c>
      <c r="Q27" s="14">
        <v>530196</v>
      </c>
      <c r="R27" s="14">
        <f t="shared" si="1"/>
        <v>-97883</v>
      </c>
      <c r="S27" s="14">
        <v>8113</v>
      </c>
      <c r="T27" s="14">
        <f t="shared" si="2"/>
        <v>9196</v>
      </c>
      <c r="U27" s="14">
        <v>339629.18</v>
      </c>
      <c r="V27" s="14">
        <f t="shared" si="6"/>
        <v>128000</v>
      </c>
    </row>
    <row r="28" spans="1:22" x14ac:dyDescent="0.2">
      <c r="A28" s="20" t="s">
        <v>58</v>
      </c>
      <c r="B28" s="21" t="s">
        <v>64</v>
      </c>
      <c r="C28" s="14">
        <v>80619.03</v>
      </c>
      <c r="D28" s="14">
        <v>61012.67</v>
      </c>
      <c r="E28" s="14">
        <v>58059.79</v>
      </c>
      <c r="F28" s="14">
        <v>100560.42</v>
      </c>
      <c r="G28" s="14">
        <v>81188.95</v>
      </c>
      <c r="H28" s="14">
        <v>4020.6699999999983</v>
      </c>
      <c r="I28" s="14">
        <v>19606</v>
      </c>
      <c r="J28" s="14">
        <v>2953.2099999999991</v>
      </c>
      <c r="K28" s="14">
        <v>10189.789999999994</v>
      </c>
      <c r="L28" s="14">
        <f t="shared" si="3"/>
        <v>9315.8399999999965</v>
      </c>
      <c r="M28" s="14">
        <f t="shared" si="4"/>
        <v>55635</v>
      </c>
      <c r="N28" s="14">
        <v>328</v>
      </c>
      <c r="O28" s="14">
        <f t="shared" si="5"/>
        <v>2900</v>
      </c>
      <c r="P28" s="14">
        <f t="shared" si="0"/>
        <v>58535</v>
      </c>
      <c r="Q28" s="14">
        <v>80315</v>
      </c>
      <c r="R28" s="14">
        <f t="shared" si="1"/>
        <v>-24680</v>
      </c>
      <c r="S28" s="14">
        <v>2077</v>
      </c>
      <c r="T28" s="14">
        <f t="shared" si="2"/>
        <v>823</v>
      </c>
      <c r="U28" s="14">
        <v>36073.49</v>
      </c>
      <c r="V28" s="14">
        <f t="shared" si="6"/>
        <v>0</v>
      </c>
    </row>
    <row r="29" spans="1:22" x14ac:dyDescent="0.2">
      <c r="A29" s="20" t="s">
        <v>55</v>
      </c>
      <c r="B29" s="21" t="s">
        <v>125</v>
      </c>
      <c r="C29" s="14">
        <v>78252.89</v>
      </c>
      <c r="D29" s="14">
        <v>51109.59</v>
      </c>
      <c r="E29" s="14">
        <v>42717.45</v>
      </c>
      <c r="F29" s="14">
        <v>142000.45000000001</v>
      </c>
      <c r="G29" s="14">
        <v>127885.48</v>
      </c>
      <c r="H29" s="14">
        <v>28129.320000000007</v>
      </c>
      <c r="I29" s="14">
        <v>27143.73000000001</v>
      </c>
      <c r="J29" s="14">
        <v>8392.2800000000134</v>
      </c>
      <c r="K29" s="14">
        <v>5150.8300000000163</v>
      </c>
      <c r="L29" s="14">
        <f t="shared" si="3"/>
        <v>1814.3500000000204</v>
      </c>
      <c r="M29" s="14">
        <f t="shared" si="4"/>
        <v>100494</v>
      </c>
      <c r="N29" s="14">
        <v>442</v>
      </c>
      <c r="O29" s="14">
        <f t="shared" si="5"/>
        <v>3907</v>
      </c>
      <c r="P29" s="14">
        <f t="shared" si="0"/>
        <v>104401</v>
      </c>
      <c r="Q29" s="14">
        <v>124549</v>
      </c>
      <c r="R29" s="14">
        <f t="shared" si="1"/>
        <v>-24055</v>
      </c>
      <c r="S29" s="14">
        <v>1896</v>
      </c>
      <c r="T29" s="14">
        <f t="shared" si="2"/>
        <v>2011</v>
      </c>
      <c r="U29" s="14">
        <v>80687.759999999995</v>
      </c>
      <c r="V29" s="14">
        <f t="shared" si="6"/>
        <v>31000</v>
      </c>
    </row>
    <row r="30" spans="1:22" x14ac:dyDescent="0.2">
      <c r="A30" s="20" t="s">
        <v>55</v>
      </c>
      <c r="B30" s="21" t="s">
        <v>219</v>
      </c>
      <c r="C30" s="14">
        <v>73569.919999999998</v>
      </c>
      <c r="D30" s="14">
        <v>68633.919999999998</v>
      </c>
      <c r="E30" s="14">
        <v>52314.06</v>
      </c>
      <c r="F30" s="14">
        <v>116980.51</v>
      </c>
      <c r="G30" s="14">
        <v>129859.02</v>
      </c>
      <c r="H30" s="14">
        <v>4864.7799999999988</v>
      </c>
      <c r="I30" s="14">
        <v>4935.8600000000006</v>
      </c>
      <c r="J30" s="14">
        <v>16319.800000000003</v>
      </c>
      <c r="K30" s="14">
        <v>-4523.7099999999919</v>
      </c>
      <c r="L30" s="14">
        <f t="shared" si="3"/>
        <v>13941.270000000004</v>
      </c>
      <c r="M30" s="14">
        <f t="shared" si="4"/>
        <v>89946</v>
      </c>
      <c r="N30" s="14">
        <v>360</v>
      </c>
      <c r="O30" s="14">
        <f t="shared" si="5"/>
        <v>3182</v>
      </c>
      <c r="P30" s="14">
        <f t="shared" si="0"/>
        <v>93128</v>
      </c>
      <c r="Q30" s="14">
        <v>148324</v>
      </c>
      <c r="R30" s="14">
        <f t="shared" si="1"/>
        <v>-58378</v>
      </c>
      <c r="S30" s="14">
        <v>1896</v>
      </c>
      <c r="T30" s="14">
        <f t="shared" si="2"/>
        <v>1286</v>
      </c>
      <c r="U30" s="14">
        <v>56171.600000000006</v>
      </c>
      <c r="V30" s="14">
        <f t="shared" si="6"/>
        <v>0</v>
      </c>
    </row>
    <row r="31" spans="1:22" x14ac:dyDescent="0.2">
      <c r="A31" s="20" t="s">
        <v>55</v>
      </c>
      <c r="B31" s="21" t="s">
        <v>124</v>
      </c>
      <c r="C31" s="14">
        <v>86139.67</v>
      </c>
      <c r="D31" s="14">
        <v>51558.080000000002</v>
      </c>
      <c r="E31" s="14">
        <v>41544.480000000003</v>
      </c>
      <c r="F31" s="14">
        <v>98951.38</v>
      </c>
      <c r="G31" s="14">
        <v>112037.73</v>
      </c>
      <c r="H31" s="14">
        <v>19303.089999999997</v>
      </c>
      <c r="I31" s="14">
        <v>34582.009999999995</v>
      </c>
      <c r="J31" s="14">
        <v>13314.529999999992</v>
      </c>
      <c r="K31" s="14">
        <v>779.14999999999418</v>
      </c>
      <c r="L31" s="14">
        <f t="shared" si="3"/>
        <v>8062.4199999999983</v>
      </c>
      <c r="M31" s="14">
        <f t="shared" si="4"/>
        <v>81568</v>
      </c>
      <c r="N31" s="14">
        <v>448</v>
      </c>
      <c r="O31" s="14">
        <f t="shared" si="5"/>
        <v>3960</v>
      </c>
      <c r="P31" s="14">
        <f t="shared" si="0"/>
        <v>85528</v>
      </c>
      <c r="Q31" s="14">
        <v>119321</v>
      </c>
      <c r="R31" s="14">
        <f t="shared" si="1"/>
        <v>-37753</v>
      </c>
      <c r="S31" s="14">
        <v>1812</v>
      </c>
      <c r="T31" s="14">
        <f t="shared" si="2"/>
        <v>2148</v>
      </c>
      <c r="U31" s="14">
        <v>69430.149999999994</v>
      </c>
      <c r="V31" s="14">
        <f t="shared" si="6"/>
        <v>25000</v>
      </c>
    </row>
    <row r="32" spans="1:22" x14ac:dyDescent="0.2">
      <c r="A32" s="20" t="s">
        <v>52</v>
      </c>
      <c r="B32" s="21" t="s">
        <v>220</v>
      </c>
      <c r="C32" s="14">
        <v>62535.85</v>
      </c>
      <c r="D32" s="14">
        <v>23943.78</v>
      </c>
      <c r="E32" s="14">
        <v>23115.81</v>
      </c>
      <c r="F32" s="14">
        <v>150845.98000000001</v>
      </c>
      <c r="G32" s="14">
        <v>121209.26</v>
      </c>
      <c r="H32" s="14">
        <v>35014.049999999996</v>
      </c>
      <c r="I32" s="14">
        <v>38592.269999999997</v>
      </c>
      <c r="J32" s="14">
        <v>15476.459999999995</v>
      </c>
      <c r="K32" s="14">
        <v>-2409.5200000000186</v>
      </c>
      <c r="L32" s="14">
        <f t="shared" si="3"/>
        <v>18691.219999999987</v>
      </c>
      <c r="M32" s="14">
        <f t="shared" si="4"/>
        <v>78276</v>
      </c>
      <c r="N32" s="14">
        <v>460</v>
      </c>
      <c r="O32" s="14">
        <f t="shared" si="5"/>
        <v>4066</v>
      </c>
      <c r="P32" s="14">
        <f t="shared" si="0"/>
        <v>82342</v>
      </c>
      <c r="Q32" s="14">
        <v>142310</v>
      </c>
      <c r="R32" s="14">
        <f t="shared" si="1"/>
        <v>-64034</v>
      </c>
      <c r="S32" s="14">
        <v>1559</v>
      </c>
      <c r="T32" s="14">
        <f t="shared" si="2"/>
        <v>2507</v>
      </c>
      <c r="U32" s="14">
        <v>42959.83</v>
      </c>
      <c r="V32" s="14">
        <f t="shared" si="6"/>
        <v>0</v>
      </c>
    </row>
    <row r="33" spans="1:22" x14ac:dyDescent="0.2">
      <c r="A33" s="20" t="s">
        <v>52</v>
      </c>
      <c r="B33" s="21" t="s">
        <v>51</v>
      </c>
      <c r="C33" s="14">
        <v>75093.67</v>
      </c>
      <c r="D33" s="14">
        <v>69699.02</v>
      </c>
      <c r="E33" s="14">
        <v>52133.82</v>
      </c>
      <c r="F33" s="14">
        <v>245312.47</v>
      </c>
      <c r="G33" s="14">
        <v>235024.86</v>
      </c>
      <c r="H33" s="14">
        <v>38835.199999999997</v>
      </c>
      <c r="I33" s="14">
        <v>5394.179999999993</v>
      </c>
      <c r="J33" s="14">
        <v>20110.359999999993</v>
      </c>
      <c r="K33" s="14">
        <v>29721.889999999985</v>
      </c>
      <c r="L33" s="14">
        <f t="shared" si="3"/>
        <v>-9024.9700000000012</v>
      </c>
      <c r="M33" s="14">
        <f t="shared" si="4"/>
        <v>197045</v>
      </c>
      <c r="N33" s="14">
        <v>948</v>
      </c>
      <c r="O33" s="14">
        <f t="shared" si="5"/>
        <v>8380</v>
      </c>
      <c r="P33" s="14">
        <f t="shared" si="0"/>
        <v>205425</v>
      </c>
      <c r="Q33" s="14">
        <v>196278</v>
      </c>
      <c r="R33" s="14">
        <f t="shared" si="1"/>
        <v>767</v>
      </c>
      <c r="S33" s="14">
        <v>3643</v>
      </c>
      <c r="T33" s="14">
        <f t="shared" si="2"/>
        <v>4737</v>
      </c>
      <c r="U33" s="14">
        <v>145625.35999999999</v>
      </c>
      <c r="V33" s="14">
        <f t="shared" si="6"/>
        <v>52000</v>
      </c>
    </row>
    <row r="34" spans="1:22" x14ac:dyDescent="0.2">
      <c r="A34" s="20" t="s">
        <v>52</v>
      </c>
      <c r="B34" s="21" t="s">
        <v>123</v>
      </c>
      <c r="C34" s="14">
        <v>192344.03</v>
      </c>
      <c r="D34" s="14">
        <v>174697.09</v>
      </c>
      <c r="E34" s="14">
        <v>173671.33</v>
      </c>
      <c r="F34" s="14">
        <v>307526.03000000003</v>
      </c>
      <c r="G34" s="14">
        <v>323828.57</v>
      </c>
      <c r="H34" s="14">
        <v>-66.130000000004657</v>
      </c>
      <c r="I34" s="14">
        <v>17646.78</v>
      </c>
      <c r="J34" s="14">
        <v>14425.450000000012</v>
      </c>
      <c r="K34" s="14">
        <v>11207.419999999984</v>
      </c>
      <c r="L34" s="14">
        <f t="shared" si="3"/>
        <v>-2128.1500000000233</v>
      </c>
      <c r="M34" s="14">
        <f t="shared" si="4"/>
        <v>261191</v>
      </c>
      <c r="N34" s="14">
        <v>1084</v>
      </c>
      <c r="O34" s="14">
        <f t="shared" si="5"/>
        <v>9583</v>
      </c>
      <c r="P34" s="14">
        <f t="shared" si="0"/>
        <v>270774</v>
      </c>
      <c r="Q34" s="14">
        <v>310493</v>
      </c>
      <c r="R34" s="14">
        <f t="shared" si="1"/>
        <v>-49302</v>
      </c>
      <c r="S34" s="14">
        <v>5881</v>
      </c>
      <c r="T34" s="14">
        <f t="shared" si="2"/>
        <v>3702</v>
      </c>
      <c r="U34" s="14">
        <v>204344.3</v>
      </c>
      <c r="V34" s="14">
        <f t="shared" si="6"/>
        <v>78000</v>
      </c>
    </row>
    <row r="35" spans="1:22" x14ac:dyDescent="0.2">
      <c r="A35" s="20" t="s">
        <v>47</v>
      </c>
      <c r="B35" s="21" t="s">
        <v>48</v>
      </c>
      <c r="C35" s="14">
        <v>223550.76</v>
      </c>
      <c r="D35" s="14">
        <v>220264.1</v>
      </c>
      <c r="E35" s="14">
        <v>244927.77</v>
      </c>
      <c r="F35" s="14">
        <v>819618.89</v>
      </c>
      <c r="G35" s="14">
        <v>644110.56999999995</v>
      </c>
      <c r="H35" s="14">
        <v>43370.119999999995</v>
      </c>
      <c r="I35" s="14">
        <v>15427.01999999999</v>
      </c>
      <c r="J35" s="14">
        <v>17796.250000000029</v>
      </c>
      <c r="K35" s="14">
        <v>91733.359999999986</v>
      </c>
      <c r="L35" s="14">
        <f t="shared" si="3"/>
        <v>93546.790000000037</v>
      </c>
      <c r="M35" s="14">
        <f t="shared" si="4"/>
        <v>421742</v>
      </c>
      <c r="N35" s="14">
        <v>1850</v>
      </c>
      <c r="O35" s="14">
        <f t="shared" si="5"/>
        <v>16354</v>
      </c>
      <c r="P35" s="14">
        <f t="shared" si="0"/>
        <v>438096</v>
      </c>
      <c r="Q35" s="14">
        <v>645924</v>
      </c>
      <c r="R35" s="14">
        <f t="shared" si="1"/>
        <v>-224182</v>
      </c>
      <c r="S35" s="14">
        <v>9149</v>
      </c>
      <c r="T35" s="14">
        <f t="shared" si="2"/>
        <v>7205</v>
      </c>
      <c r="U35" s="14">
        <v>334734.83999999997</v>
      </c>
      <c r="V35" s="14">
        <f t="shared" si="6"/>
        <v>37000</v>
      </c>
    </row>
    <row r="36" spans="1:22" x14ac:dyDescent="0.2">
      <c r="A36" s="20" t="s">
        <v>47</v>
      </c>
      <c r="B36" s="21" t="s">
        <v>122</v>
      </c>
      <c r="C36" s="14">
        <v>167829.48</v>
      </c>
      <c r="D36" s="14">
        <v>113549.17</v>
      </c>
      <c r="E36" s="14">
        <v>101290.4</v>
      </c>
      <c r="F36" s="14">
        <v>244571.65</v>
      </c>
      <c r="G36" s="14">
        <v>167530.13</v>
      </c>
      <c r="H36" s="14">
        <v>35300.910000000003</v>
      </c>
      <c r="I36" s="14">
        <v>54280.740000000005</v>
      </c>
      <c r="J36" s="14">
        <v>12258.340000000011</v>
      </c>
      <c r="K36" s="14">
        <v>26490.690000000031</v>
      </c>
      <c r="L36" s="14">
        <f t="shared" si="3"/>
        <v>52584.560000000027</v>
      </c>
      <c r="M36" s="14">
        <f t="shared" si="4"/>
        <v>81440</v>
      </c>
      <c r="N36" s="14">
        <v>641</v>
      </c>
      <c r="O36" s="14">
        <f t="shared" si="5"/>
        <v>5666</v>
      </c>
      <c r="P36" s="14">
        <f t="shared" ref="P36:P67" si="7">O36+M36</f>
        <v>87106</v>
      </c>
      <c r="Q36" s="14">
        <v>193624</v>
      </c>
      <c r="R36" s="14">
        <f t="shared" ref="R36:R67" si="8">M36-Q36</f>
        <v>-112184</v>
      </c>
      <c r="S36" s="14">
        <v>3746</v>
      </c>
      <c r="T36" s="14">
        <f t="shared" ref="T36:T67" si="9">O36-S36</f>
        <v>1920</v>
      </c>
      <c r="U36" s="14">
        <v>107054.28</v>
      </c>
      <c r="V36" s="14">
        <f t="shared" si="6"/>
        <v>43000</v>
      </c>
    </row>
    <row r="37" spans="1:22" x14ac:dyDescent="0.2">
      <c r="A37" s="20" t="s">
        <v>47</v>
      </c>
      <c r="B37" s="21" t="s">
        <v>121</v>
      </c>
      <c r="C37" s="14">
        <v>2752.85</v>
      </c>
      <c r="D37" s="14">
        <v>2244.88</v>
      </c>
      <c r="E37" s="14">
        <v>2105.61</v>
      </c>
      <c r="F37" s="14">
        <v>2150</v>
      </c>
      <c r="G37" s="14">
        <v>2400</v>
      </c>
      <c r="H37" s="14">
        <v>3406.32</v>
      </c>
      <c r="I37" s="14">
        <v>1161.44</v>
      </c>
      <c r="J37" s="14">
        <v>138.82999999999993</v>
      </c>
      <c r="K37" s="14">
        <v>109.82999999999993</v>
      </c>
      <c r="L37" s="14">
        <f t="shared" si="3"/>
        <v>-0.17000000000007276</v>
      </c>
      <c r="M37" s="14">
        <f t="shared" si="4"/>
        <v>1920</v>
      </c>
      <c r="N37" s="14">
        <v>12</v>
      </c>
      <c r="O37" s="14">
        <f t="shared" si="5"/>
        <v>106</v>
      </c>
      <c r="P37" s="14">
        <f t="shared" si="7"/>
        <v>2026</v>
      </c>
      <c r="Q37" s="14">
        <v>2290</v>
      </c>
      <c r="R37" s="14">
        <f t="shared" si="8"/>
        <v>-370</v>
      </c>
      <c r="S37" s="14">
        <v>78</v>
      </c>
      <c r="T37" s="14">
        <f t="shared" si="9"/>
        <v>28</v>
      </c>
      <c r="U37" s="14">
        <v>0</v>
      </c>
      <c r="V37" s="14">
        <f t="shared" si="6"/>
        <v>0</v>
      </c>
    </row>
    <row r="38" spans="1:22" x14ac:dyDescent="0.2">
      <c r="A38" s="20" t="s">
        <v>38</v>
      </c>
      <c r="B38" s="21" t="s">
        <v>120</v>
      </c>
      <c r="C38" s="14">
        <v>28431.26</v>
      </c>
      <c r="D38" s="14">
        <v>26796.87</v>
      </c>
      <c r="E38" s="14">
        <v>18792.59</v>
      </c>
      <c r="F38" s="14">
        <v>23220.400000000001</v>
      </c>
      <c r="G38" s="14">
        <v>14507.61</v>
      </c>
      <c r="H38" s="14">
        <v>8352.7199999999975</v>
      </c>
      <c r="I38" s="14">
        <v>2010.8499999999985</v>
      </c>
      <c r="J38" s="14">
        <v>8004.2599999999984</v>
      </c>
      <c r="K38" s="14">
        <v>5519.8599999999969</v>
      </c>
      <c r="L38" s="14">
        <f t="shared" si="3"/>
        <v>6391.2499999999964</v>
      </c>
      <c r="M38" s="14">
        <f t="shared" si="4"/>
        <v>5215</v>
      </c>
      <c r="N38" s="14">
        <v>94</v>
      </c>
      <c r="O38" s="14">
        <f t="shared" si="5"/>
        <v>831</v>
      </c>
      <c r="P38" s="14">
        <f t="shared" si="7"/>
        <v>6046</v>
      </c>
      <c r="Q38" s="14">
        <v>15379</v>
      </c>
      <c r="R38" s="14">
        <f t="shared" si="8"/>
        <v>-10164</v>
      </c>
      <c r="S38" s="14">
        <v>705</v>
      </c>
      <c r="T38" s="14">
        <f t="shared" si="9"/>
        <v>126</v>
      </c>
      <c r="U38" s="14">
        <v>7276.12</v>
      </c>
      <c r="V38" s="14">
        <f t="shared" si="6"/>
        <v>0</v>
      </c>
    </row>
    <row r="39" spans="1:22" x14ac:dyDescent="0.2">
      <c r="A39" s="20" t="s">
        <v>38</v>
      </c>
      <c r="B39" s="21" t="s">
        <v>119</v>
      </c>
      <c r="C39" s="14">
        <v>86062.63</v>
      </c>
      <c r="D39" s="14">
        <v>41560.14</v>
      </c>
      <c r="E39" s="14">
        <v>47300.15</v>
      </c>
      <c r="F39" s="14">
        <v>84847.78</v>
      </c>
      <c r="G39" s="14">
        <v>113523.87</v>
      </c>
      <c r="H39" s="14">
        <v>30245.349999999991</v>
      </c>
      <c r="I39" s="14">
        <v>44502.209999999992</v>
      </c>
      <c r="J39" s="14">
        <v>4059.0599999999904</v>
      </c>
      <c r="K39" s="14">
        <v>5458.2799999999988</v>
      </c>
      <c r="L39" s="14">
        <f t="shared" si="3"/>
        <v>-3123.5899999999965</v>
      </c>
      <c r="M39" s="14">
        <f t="shared" si="4"/>
        <v>93943</v>
      </c>
      <c r="N39" s="14">
        <v>311</v>
      </c>
      <c r="O39" s="14">
        <f t="shared" si="5"/>
        <v>2749</v>
      </c>
      <c r="P39" s="14">
        <f t="shared" si="7"/>
        <v>96692</v>
      </c>
      <c r="Q39" s="14">
        <v>104942</v>
      </c>
      <c r="R39" s="14">
        <f t="shared" si="8"/>
        <v>-10999</v>
      </c>
      <c r="S39" s="14">
        <v>1365</v>
      </c>
      <c r="T39" s="14">
        <f t="shared" si="9"/>
        <v>1384</v>
      </c>
      <c r="U39" s="14">
        <v>80682.430000000008</v>
      </c>
      <c r="V39" s="14">
        <f t="shared" si="6"/>
        <v>42000</v>
      </c>
    </row>
    <row r="40" spans="1:22" x14ac:dyDescent="0.2">
      <c r="A40" s="20" t="s">
        <v>38</v>
      </c>
      <c r="B40" s="21" t="s">
        <v>118</v>
      </c>
      <c r="C40" s="14">
        <v>33274.620000000003</v>
      </c>
      <c r="D40" s="14">
        <v>28090.41</v>
      </c>
      <c r="E40" s="14">
        <v>22526.21</v>
      </c>
      <c r="F40" s="14">
        <v>69323.05</v>
      </c>
      <c r="G40" s="14">
        <v>51367.08</v>
      </c>
      <c r="H40" s="14">
        <v>3498.1299999999974</v>
      </c>
      <c r="I40" s="14">
        <v>5183.7199999999975</v>
      </c>
      <c r="J40" s="14">
        <v>6168.5099999999984</v>
      </c>
      <c r="K40" s="14">
        <v>13417.459999999992</v>
      </c>
      <c r="L40" s="14">
        <f t="shared" si="3"/>
        <v>11023.37999999999</v>
      </c>
      <c r="M40" s="14">
        <f t="shared" si="4"/>
        <v>30070</v>
      </c>
      <c r="N40" s="14">
        <v>165</v>
      </c>
      <c r="O40" s="14">
        <f t="shared" si="5"/>
        <v>1459</v>
      </c>
      <c r="P40" s="14">
        <f t="shared" si="7"/>
        <v>31529</v>
      </c>
      <c r="Q40" s="14">
        <v>48973</v>
      </c>
      <c r="R40" s="14">
        <f t="shared" si="8"/>
        <v>-18903</v>
      </c>
      <c r="S40" s="14">
        <v>757</v>
      </c>
      <c r="T40" s="14">
        <f t="shared" si="9"/>
        <v>702</v>
      </c>
      <c r="U40" s="14">
        <v>30726.589999999997</v>
      </c>
      <c r="V40" s="14">
        <f t="shared" si="6"/>
        <v>10000</v>
      </c>
    </row>
    <row r="41" spans="1:22" x14ac:dyDescent="0.2">
      <c r="A41" s="20" t="s">
        <v>38</v>
      </c>
      <c r="B41" s="21" t="s">
        <v>37</v>
      </c>
      <c r="C41" s="14">
        <v>214168.31</v>
      </c>
      <c r="D41" s="14">
        <v>195166.59</v>
      </c>
      <c r="E41" s="14">
        <v>167202.43</v>
      </c>
      <c r="F41" s="14">
        <v>459397.5</v>
      </c>
      <c r="G41" s="14">
        <v>579489.06999999995</v>
      </c>
      <c r="H41" s="14">
        <v>53799.150000000023</v>
      </c>
      <c r="I41" s="14">
        <v>19001.560000000027</v>
      </c>
      <c r="J41" s="14">
        <v>27964.130000000034</v>
      </c>
      <c r="K41" s="14">
        <v>12150.630000000005</v>
      </c>
      <c r="L41" s="14">
        <f t="shared" si="3"/>
        <v>7810.5600000000559</v>
      </c>
      <c r="M41" s="14">
        <f t="shared" si="4"/>
        <v>455781</v>
      </c>
      <c r="N41" s="14">
        <v>1806</v>
      </c>
      <c r="O41" s="14">
        <f t="shared" si="5"/>
        <v>15965</v>
      </c>
      <c r="P41" s="14">
        <f t="shared" si="7"/>
        <v>471746</v>
      </c>
      <c r="Q41" s="14">
        <v>575149</v>
      </c>
      <c r="R41" s="14">
        <f t="shared" si="8"/>
        <v>-119368</v>
      </c>
      <c r="S41" s="14">
        <v>7007</v>
      </c>
      <c r="T41" s="14">
        <f t="shared" si="9"/>
        <v>8958</v>
      </c>
      <c r="U41" s="14">
        <v>277743.93</v>
      </c>
      <c r="V41" s="14">
        <f t="shared" si="6"/>
        <v>0</v>
      </c>
    </row>
    <row r="42" spans="1:22" x14ac:dyDescent="0.2">
      <c r="A42" s="20" t="s">
        <v>38</v>
      </c>
      <c r="B42" s="21" t="s">
        <v>117</v>
      </c>
      <c r="C42" s="14">
        <v>178092.93</v>
      </c>
      <c r="D42" s="14">
        <v>170659.47</v>
      </c>
      <c r="E42" s="14">
        <v>174974.23</v>
      </c>
      <c r="F42" s="14">
        <v>372445.51</v>
      </c>
      <c r="G42" s="14">
        <v>394880.46</v>
      </c>
      <c r="H42" s="14">
        <v>45796.389999999985</v>
      </c>
      <c r="I42" s="14">
        <v>7433.9199999999837</v>
      </c>
      <c r="J42" s="14">
        <v>17232.689999999973</v>
      </c>
      <c r="K42" s="14">
        <v>-259.82000000006519</v>
      </c>
      <c r="L42" s="14">
        <f t="shared" si="3"/>
        <v>24619.719999999914</v>
      </c>
      <c r="M42" s="14">
        <f t="shared" si="4"/>
        <v>291285</v>
      </c>
      <c r="N42" s="14">
        <v>1336</v>
      </c>
      <c r="O42" s="14">
        <f t="shared" si="5"/>
        <v>11810</v>
      </c>
      <c r="P42" s="14">
        <f t="shared" si="7"/>
        <v>303095</v>
      </c>
      <c r="Q42" s="14">
        <v>419760</v>
      </c>
      <c r="R42" s="14">
        <f t="shared" si="8"/>
        <v>-128475</v>
      </c>
      <c r="S42" s="14">
        <v>6768</v>
      </c>
      <c r="T42" s="14">
        <f t="shared" si="9"/>
        <v>5042</v>
      </c>
      <c r="U42" s="14">
        <v>230661.14</v>
      </c>
      <c r="V42" s="14">
        <f t="shared" si="6"/>
        <v>65000</v>
      </c>
    </row>
    <row r="43" spans="1:22" x14ac:dyDescent="0.2">
      <c r="A43" s="20" t="s">
        <v>38</v>
      </c>
      <c r="B43" s="21" t="s">
        <v>116</v>
      </c>
      <c r="C43" s="14">
        <v>76336.55</v>
      </c>
      <c r="D43" s="14">
        <v>79571.199999999997</v>
      </c>
      <c r="E43" s="14">
        <v>79463.64</v>
      </c>
      <c r="F43" s="14">
        <v>162605.56</v>
      </c>
      <c r="G43" s="14">
        <v>189236.01</v>
      </c>
      <c r="H43" s="14">
        <v>5814.4799999999959</v>
      </c>
      <c r="I43" s="14">
        <v>-1241.7200000000012</v>
      </c>
      <c r="J43" s="14">
        <v>6823.6399999999994</v>
      </c>
      <c r="K43" s="14">
        <v>7890.0800000000163</v>
      </c>
      <c r="L43" s="14">
        <f t="shared" si="3"/>
        <v>10364.070000000007</v>
      </c>
      <c r="M43" s="14">
        <f t="shared" si="4"/>
        <v>141025</v>
      </c>
      <c r="N43" s="14">
        <v>641</v>
      </c>
      <c r="O43" s="14">
        <f t="shared" si="5"/>
        <v>5666</v>
      </c>
      <c r="P43" s="14">
        <f t="shared" si="7"/>
        <v>146691</v>
      </c>
      <c r="Q43" s="14">
        <v>191710</v>
      </c>
      <c r="R43" s="14">
        <f t="shared" si="8"/>
        <v>-50685</v>
      </c>
      <c r="S43" s="14">
        <v>3157</v>
      </c>
      <c r="T43" s="14">
        <f t="shared" si="9"/>
        <v>2509</v>
      </c>
      <c r="U43" s="14">
        <v>98392.01</v>
      </c>
      <c r="V43" s="14">
        <f t="shared" si="6"/>
        <v>11000</v>
      </c>
    </row>
    <row r="44" spans="1:22" x14ac:dyDescent="0.2">
      <c r="A44" s="20" t="s">
        <v>38</v>
      </c>
      <c r="B44" s="21" t="s">
        <v>115</v>
      </c>
      <c r="C44" s="14">
        <v>93564.75</v>
      </c>
      <c r="D44" s="14">
        <v>59434.720000000001</v>
      </c>
      <c r="E44" s="14">
        <v>46701.4</v>
      </c>
      <c r="F44" s="14">
        <v>237369.88</v>
      </c>
      <c r="G44" s="14">
        <v>256244.33</v>
      </c>
      <c r="H44" s="14">
        <v>31947.350000000006</v>
      </c>
      <c r="I44" s="14">
        <v>34129.630000000005</v>
      </c>
      <c r="J44" s="14">
        <v>12733.230000000003</v>
      </c>
      <c r="K44" s="14">
        <v>12718.350000000006</v>
      </c>
      <c r="L44" s="14">
        <f t="shared" si="3"/>
        <v>12956.01999999999</v>
      </c>
      <c r="M44" s="14">
        <f t="shared" si="4"/>
        <v>192039</v>
      </c>
      <c r="N44" s="14">
        <v>971</v>
      </c>
      <c r="O44" s="14">
        <f t="shared" si="5"/>
        <v>8584</v>
      </c>
      <c r="P44" s="14">
        <f t="shared" si="7"/>
        <v>200623</v>
      </c>
      <c r="Q44" s="14">
        <v>256482</v>
      </c>
      <c r="R44" s="14">
        <f t="shared" si="8"/>
        <v>-64443</v>
      </c>
      <c r="S44" s="14">
        <v>3138</v>
      </c>
      <c r="T44" s="14">
        <f t="shared" si="9"/>
        <v>5446</v>
      </c>
      <c r="U44" s="14">
        <v>162560.70000000001</v>
      </c>
      <c r="V44" s="14">
        <f t="shared" si="6"/>
        <v>63000</v>
      </c>
    </row>
    <row r="45" spans="1:22" x14ac:dyDescent="0.2">
      <c r="A45" s="20" t="s">
        <v>38</v>
      </c>
      <c r="B45" s="21" t="s">
        <v>114</v>
      </c>
      <c r="C45" s="14">
        <v>130296.58</v>
      </c>
      <c r="D45" s="14">
        <v>109977.79</v>
      </c>
      <c r="E45" s="14">
        <v>104423.88</v>
      </c>
      <c r="F45" s="14">
        <v>207146.68</v>
      </c>
      <c r="G45" s="14">
        <v>160248.06</v>
      </c>
      <c r="H45" s="14">
        <v>11833.550000000003</v>
      </c>
      <c r="I45" s="14">
        <v>20318.760000000009</v>
      </c>
      <c r="J45" s="14">
        <v>7197.8800000000047</v>
      </c>
      <c r="K45" s="14">
        <v>7957.2000000000116</v>
      </c>
      <c r="L45" s="14">
        <f t="shared" si="3"/>
        <v>26184.140000000014</v>
      </c>
      <c r="M45" s="14">
        <f t="shared" si="4"/>
        <v>102014</v>
      </c>
      <c r="N45" s="14">
        <v>503</v>
      </c>
      <c r="O45" s="14">
        <f t="shared" si="5"/>
        <v>4447</v>
      </c>
      <c r="P45" s="14">
        <f t="shared" si="7"/>
        <v>106461</v>
      </c>
      <c r="Q45" s="14">
        <v>178475</v>
      </c>
      <c r="R45" s="14">
        <f t="shared" si="8"/>
        <v>-76461</v>
      </c>
      <c r="S45" s="14">
        <v>3280</v>
      </c>
      <c r="T45" s="14">
        <f t="shared" si="9"/>
        <v>1167</v>
      </c>
      <c r="U45" s="14">
        <v>89572.94</v>
      </c>
      <c r="V45" s="14">
        <f t="shared" si="6"/>
        <v>20000</v>
      </c>
    </row>
    <row r="46" spans="1:22" x14ac:dyDescent="0.2">
      <c r="A46" s="20" t="s">
        <v>35</v>
      </c>
      <c r="B46" s="21" t="s">
        <v>113</v>
      </c>
      <c r="C46" s="14">
        <v>84151.6</v>
      </c>
      <c r="D46" s="14">
        <v>69585.42</v>
      </c>
      <c r="E46" s="14">
        <v>49686.86</v>
      </c>
      <c r="F46" s="14">
        <v>78978.679999999993</v>
      </c>
      <c r="G46" s="14">
        <v>62803.75</v>
      </c>
      <c r="H46" s="14">
        <v>1821.2799999999988</v>
      </c>
      <c r="I46" s="14">
        <v>14565.86</v>
      </c>
      <c r="J46" s="14">
        <v>19899</v>
      </c>
      <c r="K46" s="14">
        <v>9297.320000000007</v>
      </c>
      <c r="L46" s="14">
        <f t="shared" si="3"/>
        <v>8276.570000000007</v>
      </c>
      <c r="M46" s="14">
        <f t="shared" si="4"/>
        <v>41966</v>
      </c>
      <c r="N46" s="14">
        <v>241</v>
      </c>
      <c r="O46" s="14">
        <f t="shared" si="5"/>
        <v>2130</v>
      </c>
      <c r="P46" s="14">
        <f t="shared" si="7"/>
        <v>44096</v>
      </c>
      <c r="Q46" s="14">
        <v>61783</v>
      </c>
      <c r="R46" s="14">
        <f t="shared" si="8"/>
        <v>-19817</v>
      </c>
      <c r="S46" s="14">
        <v>1799</v>
      </c>
      <c r="T46" s="14">
        <f t="shared" si="9"/>
        <v>331</v>
      </c>
      <c r="U46" s="14">
        <v>30879.35</v>
      </c>
      <c r="V46" s="14">
        <f t="shared" si="6"/>
        <v>1000</v>
      </c>
    </row>
    <row r="47" spans="1:22" x14ac:dyDescent="0.2">
      <c r="A47" s="20" t="s">
        <v>35</v>
      </c>
      <c r="B47" s="21" t="s">
        <v>112</v>
      </c>
      <c r="C47" s="14">
        <v>254364.94</v>
      </c>
      <c r="D47" s="14">
        <v>219319.8</v>
      </c>
      <c r="E47" s="14">
        <v>240075.61</v>
      </c>
      <c r="F47" s="14">
        <v>432750.59</v>
      </c>
      <c r="G47" s="14">
        <v>438814.95</v>
      </c>
      <c r="H47" s="14">
        <v>25748.929999999993</v>
      </c>
      <c r="I47" s="14">
        <v>35045.130000000005</v>
      </c>
      <c r="J47" s="14">
        <v>39229.520000000019</v>
      </c>
      <c r="K47" s="14">
        <v>18380.929999999993</v>
      </c>
      <c r="L47" s="14">
        <f t="shared" si="3"/>
        <v>11884.979999999981</v>
      </c>
      <c r="M47" s="14">
        <f t="shared" si="4"/>
        <v>339167</v>
      </c>
      <c r="N47" s="14">
        <v>1462</v>
      </c>
      <c r="O47" s="14">
        <f t="shared" si="5"/>
        <v>12924</v>
      </c>
      <c r="P47" s="14">
        <f t="shared" si="7"/>
        <v>352091</v>
      </c>
      <c r="Q47" s="14">
        <v>432319</v>
      </c>
      <c r="R47" s="14">
        <f t="shared" si="8"/>
        <v>-93152</v>
      </c>
      <c r="S47" s="14">
        <v>7848</v>
      </c>
      <c r="T47" s="14">
        <f t="shared" si="9"/>
        <v>5076</v>
      </c>
      <c r="U47" s="14">
        <v>258773.18</v>
      </c>
      <c r="V47" s="14">
        <f t="shared" si="6"/>
        <v>76000</v>
      </c>
    </row>
    <row r="48" spans="1:22" x14ac:dyDescent="0.2">
      <c r="A48" s="20" t="s">
        <v>35</v>
      </c>
      <c r="B48" s="21" t="s">
        <v>111</v>
      </c>
      <c r="C48" s="14">
        <v>36954.800000000003</v>
      </c>
      <c r="D48" s="14">
        <v>31044.01</v>
      </c>
      <c r="E48" s="14">
        <v>28724</v>
      </c>
      <c r="F48" s="14">
        <v>91570.54</v>
      </c>
      <c r="G48" s="14">
        <v>86413.87</v>
      </c>
      <c r="H48" s="14">
        <v>10122.889999999992</v>
      </c>
      <c r="I48" s="14">
        <v>5910.8799999999937</v>
      </c>
      <c r="J48" s="14">
        <v>2319.8799999999937</v>
      </c>
      <c r="K48" s="14">
        <v>5710.3399999999965</v>
      </c>
      <c r="L48" s="14">
        <f t="shared" si="3"/>
        <v>4286.4700000000012</v>
      </c>
      <c r="M48" s="14">
        <f t="shared" si="4"/>
        <v>64845</v>
      </c>
      <c r="N48" s="14">
        <v>255</v>
      </c>
      <c r="O48" s="14">
        <f t="shared" si="5"/>
        <v>2254</v>
      </c>
      <c r="P48" s="14">
        <f t="shared" si="7"/>
        <v>67099</v>
      </c>
      <c r="Q48" s="14">
        <v>84990</v>
      </c>
      <c r="R48" s="14">
        <f t="shared" si="8"/>
        <v>-20145</v>
      </c>
      <c r="S48" s="14">
        <v>1346</v>
      </c>
      <c r="T48" s="14">
        <f t="shared" si="9"/>
        <v>908</v>
      </c>
      <c r="U48" s="14">
        <v>40555.01</v>
      </c>
      <c r="V48" s="14">
        <f t="shared" si="6"/>
        <v>0</v>
      </c>
    </row>
    <row r="49" spans="1:22" x14ac:dyDescent="0.2">
      <c r="A49" s="20" t="s">
        <v>28</v>
      </c>
      <c r="B49" s="21" t="s">
        <v>110</v>
      </c>
      <c r="C49" s="14">
        <v>52001.18</v>
      </c>
      <c r="D49" s="14">
        <v>66462.58</v>
      </c>
      <c r="E49" s="14">
        <v>64095.57</v>
      </c>
      <c r="F49" s="14">
        <v>113593.61</v>
      </c>
      <c r="G49" s="14">
        <v>98736.7</v>
      </c>
      <c r="H49" s="14">
        <v>12391.119999999995</v>
      </c>
      <c r="I49" s="14">
        <v>-1553.4600000000064</v>
      </c>
      <c r="J49" s="14">
        <v>11937.969999999994</v>
      </c>
      <c r="K49" s="14">
        <v>19124.36</v>
      </c>
      <c r="L49" s="14">
        <f t="shared" si="3"/>
        <v>8463.6600000000035</v>
      </c>
      <c r="M49" s="14">
        <f t="shared" si="4"/>
        <v>70526</v>
      </c>
      <c r="N49" s="14">
        <v>288</v>
      </c>
      <c r="O49" s="14">
        <f t="shared" si="5"/>
        <v>2546</v>
      </c>
      <c r="P49" s="14">
        <f t="shared" si="7"/>
        <v>73072</v>
      </c>
      <c r="Q49" s="14">
        <v>88076</v>
      </c>
      <c r="R49" s="14">
        <f t="shared" si="8"/>
        <v>-17550</v>
      </c>
      <c r="S49" s="14">
        <v>2032</v>
      </c>
      <c r="T49" s="14">
        <f t="shared" si="9"/>
        <v>514</v>
      </c>
      <c r="U49" s="14">
        <v>51139.69</v>
      </c>
      <c r="V49" s="14">
        <f t="shared" si="6"/>
        <v>5000</v>
      </c>
    </row>
    <row r="50" spans="1:22" x14ac:dyDescent="0.2">
      <c r="A50" s="20" t="s">
        <v>28</v>
      </c>
      <c r="B50" s="21" t="s">
        <v>109</v>
      </c>
      <c r="C50" s="14">
        <v>16075.01</v>
      </c>
      <c r="D50" s="14">
        <v>10150.64</v>
      </c>
      <c r="E50" s="14">
        <v>14870.39</v>
      </c>
      <c r="F50" s="14">
        <v>14112.52</v>
      </c>
      <c r="G50" s="14">
        <v>7961.19</v>
      </c>
      <c r="H50" s="14">
        <v>5065.6100000000024</v>
      </c>
      <c r="I50" s="14">
        <v>5923.970000000003</v>
      </c>
      <c r="J50" s="14">
        <v>1543.5800000000017</v>
      </c>
      <c r="K50" s="14">
        <v>3122.0600000000013</v>
      </c>
      <c r="L50" s="14">
        <f t="shared" si="3"/>
        <v>4739.8700000000017</v>
      </c>
      <c r="M50" s="14">
        <f t="shared" si="4"/>
        <v>1629</v>
      </c>
      <c r="N50" s="14">
        <v>30</v>
      </c>
      <c r="O50" s="14">
        <f t="shared" si="5"/>
        <v>265</v>
      </c>
      <c r="P50" s="14">
        <f t="shared" si="7"/>
        <v>1894</v>
      </c>
      <c r="Q50" s="14">
        <v>9579</v>
      </c>
      <c r="R50" s="14">
        <f t="shared" si="8"/>
        <v>-7950</v>
      </c>
      <c r="S50" s="14">
        <v>395</v>
      </c>
      <c r="T50" s="14">
        <f t="shared" si="9"/>
        <v>-130</v>
      </c>
      <c r="U50" s="14">
        <v>3951.83</v>
      </c>
      <c r="V50" s="14">
        <f t="shared" si="6"/>
        <v>0</v>
      </c>
    </row>
    <row r="51" spans="1:22" x14ac:dyDescent="0.2">
      <c r="A51" s="20" t="s">
        <v>28</v>
      </c>
      <c r="B51" s="21" t="s">
        <v>221</v>
      </c>
      <c r="C51" s="14">
        <v>128140.96</v>
      </c>
      <c r="D51" s="14">
        <v>139303.12</v>
      </c>
      <c r="E51" s="14">
        <v>167185.63</v>
      </c>
      <c r="F51" s="14">
        <v>204987.08</v>
      </c>
      <c r="G51" s="14">
        <v>212292.36</v>
      </c>
      <c r="H51" s="14">
        <v>43104.940000000017</v>
      </c>
      <c r="I51" s="14">
        <v>-4439.179999999993</v>
      </c>
      <c r="J51" s="14">
        <v>12316.190000000002</v>
      </c>
      <c r="K51" s="14">
        <v>2230.1100000000151</v>
      </c>
      <c r="L51" s="14">
        <f t="shared" si="3"/>
        <v>-2192.2499999999709</v>
      </c>
      <c r="M51" s="14">
        <f t="shared" si="4"/>
        <v>172026</v>
      </c>
      <c r="N51" s="14">
        <v>791</v>
      </c>
      <c r="O51" s="14">
        <f t="shared" si="5"/>
        <v>6992</v>
      </c>
      <c r="P51" s="14">
        <f t="shared" si="7"/>
        <v>179018</v>
      </c>
      <c r="Q51" s="14">
        <v>207870</v>
      </c>
      <c r="R51" s="14">
        <f t="shared" si="8"/>
        <v>-35844</v>
      </c>
      <c r="S51" s="14">
        <v>5163</v>
      </c>
      <c r="T51" s="14">
        <f t="shared" si="9"/>
        <v>1829</v>
      </c>
      <c r="U51" s="14">
        <v>141642.5</v>
      </c>
      <c r="V51" s="14">
        <f t="shared" si="6"/>
        <v>64000</v>
      </c>
    </row>
    <row r="52" spans="1:22" x14ac:dyDescent="0.2">
      <c r="A52" s="20" t="s">
        <v>28</v>
      </c>
      <c r="B52" s="21" t="s">
        <v>222</v>
      </c>
      <c r="C52" s="14">
        <v>106314.05</v>
      </c>
      <c r="D52" s="14">
        <v>82435.360000000001</v>
      </c>
      <c r="E52" s="14">
        <v>89602.64</v>
      </c>
      <c r="F52" s="14">
        <v>139144.14000000001</v>
      </c>
      <c r="G52" s="14">
        <v>132037.14000000001</v>
      </c>
      <c r="H52" s="14">
        <v>10179.85000000002</v>
      </c>
      <c r="I52" s="14">
        <v>23878.49000000002</v>
      </c>
      <c r="J52" s="14">
        <v>16856.85000000002</v>
      </c>
      <c r="K52" s="14">
        <v>7234.710000000021</v>
      </c>
      <c r="L52" s="14">
        <f t="shared" si="3"/>
        <v>462.57000000000698</v>
      </c>
      <c r="M52" s="14">
        <f t="shared" si="4"/>
        <v>105167</v>
      </c>
      <c r="N52" s="14">
        <v>448</v>
      </c>
      <c r="O52" s="14">
        <f t="shared" si="5"/>
        <v>3960</v>
      </c>
      <c r="P52" s="14">
        <f t="shared" si="7"/>
        <v>109127</v>
      </c>
      <c r="Q52" s="14">
        <v>125265</v>
      </c>
      <c r="R52" s="14">
        <f t="shared" si="8"/>
        <v>-20098</v>
      </c>
      <c r="S52" s="14">
        <v>2769</v>
      </c>
      <c r="T52" s="14">
        <f t="shared" si="9"/>
        <v>1191</v>
      </c>
      <c r="U52" s="14">
        <v>76119.510000000009</v>
      </c>
      <c r="V52" s="14">
        <f t="shared" si="6"/>
        <v>20000</v>
      </c>
    </row>
    <row r="53" spans="1:22" x14ac:dyDescent="0.2">
      <c r="A53" s="20" t="s">
        <v>28</v>
      </c>
      <c r="B53" s="21" t="s">
        <v>30</v>
      </c>
      <c r="C53" s="14">
        <v>691636.49</v>
      </c>
      <c r="D53" s="14">
        <v>692700.06</v>
      </c>
      <c r="E53" s="14">
        <v>645852.30000000005</v>
      </c>
      <c r="F53" s="14">
        <v>1966622.7</v>
      </c>
      <c r="G53" s="14">
        <v>2192848.2999999998</v>
      </c>
      <c r="H53" s="14">
        <v>108177.15000000002</v>
      </c>
      <c r="I53" s="14">
        <v>18296.089999999967</v>
      </c>
      <c r="J53" s="14">
        <v>55862.789999999921</v>
      </c>
      <c r="K53" s="14">
        <v>-33989.909999999916</v>
      </c>
      <c r="L53" s="14">
        <f t="shared" si="3"/>
        <v>134851.79000000004</v>
      </c>
      <c r="M53" s="14">
        <f t="shared" si="4"/>
        <v>1619427</v>
      </c>
      <c r="N53" s="14">
        <v>5880</v>
      </c>
      <c r="O53" s="14">
        <f t="shared" si="5"/>
        <v>51979</v>
      </c>
      <c r="P53" s="14">
        <f t="shared" si="7"/>
        <v>1671406</v>
      </c>
      <c r="Q53" s="14">
        <v>2361690</v>
      </c>
      <c r="R53" s="14">
        <f t="shared" si="8"/>
        <v>-742263</v>
      </c>
      <c r="S53" s="14">
        <v>23939</v>
      </c>
      <c r="T53" s="14">
        <f t="shared" si="9"/>
        <v>28040</v>
      </c>
      <c r="U53" s="14">
        <v>1092850</v>
      </c>
      <c r="V53" s="14">
        <f t="shared" si="6"/>
        <v>49000</v>
      </c>
    </row>
    <row r="54" spans="1:22" x14ac:dyDescent="0.2">
      <c r="A54" s="20" t="s">
        <v>28</v>
      </c>
      <c r="B54" s="21" t="s">
        <v>108</v>
      </c>
      <c r="C54" s="14">
        <v>106623.65</v>
      </c>
      <c r="D54" s="14">
        <v>83939.96</v>
      </c>
      <c r="E54" s="14">
        <v>74133.11</v>
      </c>
      <c r="F54" s="14">
        <v>266642.38</v>
      </c>
      <c r="G54" s="14">
        <v>350263.54</v>
      </c>
      <c r="H54" s="14">
        <v>46536.320000000007</v>
      </c>
      <c r="I54" s="14">
        <v>22683.360000000001</v>
      </c>
      <c r="J54" s="14">
        <v>9807.25</v>
      </c>
      <c r="K54" s="14">
        <v>2159.8699999999953</v>
      </c>
      <c r="L54" s="14">
        <f t="shared" si="3"/>
        <v>16236.330000000016</v>
      </c>
      <c r="M54" s="14">
        <f t="shared" si="4"/>
        <v>263975</v>
      </c>
      <c r="N54" s="14">
        <v>1191</v>
      </c>
      <c r="O54" s="14">
        <f t="shared" si="5"/>
        <v>10528</v>
      </c>
      <c r="P54" s="14">
        <f t="shared" si="7"/>
        <v>274503</v>
      </c>
      <c r="Q54" s="14">
        <v>364340</v>
      </c>
      <c r="R54" s="14">
        <f t="shared" si="8"/>
        <v>-100365</v>
      </c>
      <c r="S54" s="14">
        <v>3895</v>
      </c>
      <c r="T54" s="14">
        <f t="shared" si="9"/>
        <v>6633</v>
      </c>
      <c r="U54" s="14">
        <v>171979.25</v>
      </c>
      <c r="V54" s="14">
        <f t="shared" si="6"/>
        <v>4000</v>
      </c>
    </row>
    <row r="55" spans="1:22" x14ac:dyDescent="0.2">
      <c r="A55" s="20" t="s">
        <v>28</v>
      </c>
      <c r="B55" s="21" t="s">
        <v>107</v>
      </c>
      <c r="C55" s="14">
        <v>98789.99</v>
      </c>
      <c r="D55" s="14">
        <v>94159.71</v>
      </c>
      <c r="E55" s="14">
        <v>84090.61</v>
      </c>
      <c r="F55" s="14">
        <v>171938.44</v>
      </c>
      <c r="G55" s="14">
        <v>185021.65</v>
      </c>
      <c r="H55" s="14">
        <v>22675.539999999994</v>
      </c>
      <c r="I55" s="14">
        <v>5776.8299999999872</v>
      </c>
      <c r="J55" s="14">
        <v>16446.219999999987</v>
      </c>
      <c r="K55" s="14">
        <v>12157.77999999997</v>
      </c>
      <c r="L55" s="14">
        <f t="shared" si="3"/>
        <v>-1921.8700000000244</v>
      </c>
      <c r="M55" s="14">
        <f t="shared" si="4"/>
        <v>149939</v>
      </c>
      <c r="N55" s="14">
        <v>612</v>
      </c>
      <c r="O55" s="14">
        <f t="shared" si="5"/>
        <v>5410</v>
      </c>
      <c r="P55" s="14">
        <f t="shared" si="7"/>
        <v>155349</v>
      </c>
      <c r="Q55" s="14">
        <v>170942</v>
      </c>
      <c r="R55" s="14">
        <f t="shared" si="8"/>
        <v>-21003</v>
      </c>
      <c r="S55" s="14">
        <v>3526</v>
      </c>
      <c r="T55" s="14">
        <f t="shared" si="9"/>
        <v>1884</v>
      </c>
      <c r="U55" s="14">
        <v>102053.62</v>
      </c>
      <c r="V55" s="14">
        <f t="shared" si="6"/>
        <v>20000</v>
      </c>
    </row>
    <row r="56" spans="1:22" x14ac:dyDescent="0.2">
      <c r="A56" s="20" t="s">
        <v>24</v>
      </c>
      <c r="B56" s="21" t="s">
        <v>106</v>
      </c>
      <c r="C56" s="14">
        <v>300283.56</v>
      </c>
      <c r="D56" s="14">
        <v>261662.05</v>
      </c>
      <c r="E56" s="14">
        <v>292388.87</v>
      </c>
      <c r="F56" s="14">
        <v>448409.3</v>
      </c>
      <c r="G56" s="14">
        <v>529495.66</v>
      </c>
      <c r="H56" s="14">
        <v>57789.510000000009</v>
      </c>
      <c r="I56" s="14">
        <v>38621.460000000021</v>
      </c>
      <c r="J56" s="14">
        <v>28528.590000000026</v>
      </c>
      <c r="K56" s="14">
        <v>66631.290000000037</v>
      </c>
      <c r="L56" s="14">
        <f t="shared" si="3"/>
        <v>11104.630000000005</v>
      </c>
      <c r="M56" s="14">
        <f t="shared" si="4"/>
        <v>412492</v>
      </c>
      <c r="N56" s="14">
        <v>1392</v>
      </c>
      <c r="O56" s="14">
        <f t="shared" si="5"/>
        <v>12305</v>
      </c>
      <c r="P56" s="14">
        <f t="shared" si="7"/>
        <v>424797</v>
      </c>
      <c r="Q56" s="14">
        <v>473969</v>
      </c>
      <c r="R56" s="14">
        <f t="shared" si="8"/>
        <v>-61477</v>
      </c>
      <c r="S56" s="14">
        <v>7790</v>
      </c>
      <c r="T56" s="14">
        <f t="shared" si="9"/>
        <v>4515</v>
      </c>
      <c r="U56" s="14">
        <v>295717.27</v>
      </c>
      <c r="V56" s="14">
        <f t="shared" si="6"/>
        <v>64000</v>
      </c>
    </row>
    <row r="57" spans="1:22" x14ac:dyDescent="0.2">
      <c r="A57" s="20" t="s">
        <v>24</v>
      </c>
      <c r="B57" s="21" t="s">
        <v>105</v>
      </c>
      <c r="C57" s="14">
        <v>64395.7</v>
      </c>
      <c r="D57" s="14">
        <v>85376.98</v>
      </c>
      <c r="E57" s="14">
        <v>79492.02</v>
      </c>
      <c r="F57" s="14">
        <v>115686.19</v>
      </c>
      <c r="G57" s="14">
        <v>128311.46</v>
      </c>
      <c r="H57" s="14">
        <v>2828.3800000000192</v>
      </c>
      <c r="I57" s="14">
        <v>1858.4000000000233</v>
      </c>
      <c r="J57" s="14">
        <v>14495.380000000019</v>
      </c>
      <c r="K57" s="14">
        <v>12416.190000000017</v>
      </c>
      <c r="L57" s="14">
        <f t="shared" si="3"/>
        <v>5288.7299999999959</v>
      </c>
      <c r="M57" s="14">
        <f t="shared" si="4"/>
        <v>97360</v>
      </c>
      <c r="N57" s="14">
        <v>399</v>
      </c>
      <c r="O57" s="14">
        <f t="shared" si="5"/>
        <v>3527</v>
      </c>
      <c r="P57" s="14">
        <f t="shared" si="7"/>
        <v>100887</v>
      </c>
      <c r="Q57" s="14">
        <v>121184</v>
      </c>
      <c r="R57" s="14">
        <f t="shared" si="8"/>
        <v>-23824</v>
      </c>
      <c r="S57" s="14">
        <v>2620</v>
      </c>
      <c r="T57" s="14">
        <f t="shared" si="9"/>
        <v>907</v>
      </c>
      <c r="U57" s="14">
        <v>53405.09</v>
      </c>
      <c r="V57" s="14">
        <f t="shared" si="6"/>
        <v>0</v>
      </c>
    </row>
    <row r="58" spans="1:22" x14ac:dyDescent="0.2">
      <c r="A58" s="20" t="s">
        <v>24</v>
      </c>
      <c r="B58" s="21" t="s">
        <v>104</v>
      </c>
      <c r="C58" s="14">
        <v>115238.71</v>
      </c>
      <c r="D58" s="14">
        <v>123628.33</v>
      </c>
      <c r="E58" s="14">
        <v>133482.79</v>
      </c>
      <c r="F58" s="14">
        <v>323190.8</v>
      </c>
      <c r="G58" s="14">
        <v>337117.86</v>
      </c>
      <c r="H58" s="14">
        <v>18743.300000000003</v>
      </c>
      <c r="I58" s="14">
        <v>6040.9700000000012</v>
      </c>
      <c r="J58" s="14">
        <v>1290.179999999993</v>
      </c>
      <c r="K58" s="14">
        <v>22147.380000000005</v>
      </c>
      <c r="L58" s="14">
        <f t="shared" si="3"/>
        <v>19582.520000000019</v>
      </c>
      <c r="M58" s="14">
        <f t="shared" si="4"/>
        <v>250112</v>
      </c>
      <c r="N58" s="14">
        <v>991</v>
      </c>
      <c r="O58" s="14">
        <f t="shared" si="5"/>
        <v>8760</v>
      </c>
      <c r="P58" s="14">
        <f t="shared" si="7"/>
        <v>258872</v>
      </c>
      <c r="Q58" s="14">
        <v>334553</v>
      </c>
      <c r="R58" s="14">
        <f t="shared" si="8"/>
        <v>-84441</v>
      </c>
      <c r="S58" s="14">
        <v>4193</v>
      </c>
      <c r="T58" s="14">
        <f t="shared" si="9"/>
        <v>4567</v>
      </c>
      <c r="U58" s="14">
        <v>184502.41999999998</v>
      </c>
      <c r="V58" s="14">
        <f t="shared" si="6"/>
        <v>35000</v>
      </c>
    </row>
    <row r="59" spans="1:22" x14ac:dyDescent="0.2">
      <c r="A59" s="20" t="s">
        <v>24</v>
      </c>
      <c r="B59" s="21" t="s">
        <v>103</v>
      </c>
      <c r="C59" s="14">
        <v>278558.56</v>
      </c>
      <c r="D59" s="14">
        <v>305245.68</v>
      </c>
      <c r="E59" s="14">
        <v>276232.83</v>
      </c>
      <c r="F59" s="14">
        <v>464480.56</v>
      </c>
      <c r="G59" s="14">
        <v>557235.47</v>
      </c>
      <c r="H59" s="14">
        <v>4854.0800000000163</v>
      </c>
      <c r="I59" s="14">
        <v>13239.400000000023</v>
      </c>
      <c r="J59" s="14">
        <v>50793.570000000007</v>
      </c>
      <c r="K59" s="14">
        <v>30628.010000000009</v>
      </c>
      <c r="L59" s="14">
        <f t="shared" si="3"/>
        <v>34464.540000000037</v>
      </c>
      <c r="M59" s="14">
        <f t="shared" si="4"/>
        <v>411324</v>
      </c>
      <c r="N59" s="14">
        <v>1479</v>
      </c>
      <c r="O59" s="14">
        <f t="shared" si="5"/>
        <v>13074</v>
      </c>
      <c r="P59" s="14">
        <f t="shared" si="7"/>
        <v>424398</v>
      </c>
      <c r="Q59" s="14">
        <v>561072</v>
      </c>
      <c r="R59" s="14">
        <f t="shared" si="8"/>
        <v>-149748</v>
      </c>
      <c r="S59" s="14">
        <v>7098</v>
      </c>
      <c r="T59" s="14">
        <f t="shared" si="9"/>
        <v>5976</v>
      </c>
      <c r="U59" s="14">
        <v>329871.98000000004</v>
      </c>
      <c r="V59" s="14">
        <f t="shared" si="6"/>
        <v>99000</v>
      </c>
    </row>
    <row r="60" spans="1:22" x14ac:dyDescent="0.2">
      <c r="A60" s="20" t="s">
        <v>20</v>
      </c>
      <c r="B60" s="21" t="s">
        <v>102</v>
      </c>
      <c r="C60" s="14">
        <v>1113</v>
      </c>
      <c r="D60" s="14">
        <v>2290.8200000000002</v>
      </c>
      <c r="E60" s="14">
        <v>5466.37</v>
      </c>
      <c r="F60" s="14">
        <v>8244.3799999999992</v>
      </c>
      <c r="G60" s="14">
        <v>9833.34</v>
      </c>
      <c r="H60" s="14">
        <v>7894.0400000000009</v>
      </c>
      <c r="I60" s="14">
        <v>5603.2200000000012</v>
      </c>
      <c r="J60" s="14">
        <v>496.85000000000127</v>
      </c>
      <c r="K60" s="14">
        <v>223.47000000000298</v>
      </c>
      <c r="L60" s="14">
        <f t="shared" si="3"/>
        <v>-732.86999999999716</v>
      </c>
      <c r="M60" s="14">
        <f t="shared" si="4"/>
        <v>8600</v>
      </c>
      <c r="N60" s="14">
        <v>46</v>
      </c>
      <c r="O60" s="14">
        <f t="shared" si="5"/>
        <v>407</v>
      </c>
      <c r="P60" s="14">
        <f t="shared" si="7"/>
        <v>9007</v>
      </c>
      <c r="Q60" s="14">
        <v>8877</v>
      </c>
      <c r="R60" s="14">
        <f t="shared" si="8"/>
        <v>-277</v>
      </c>
      <c r="S60" s="14">
        <v>252</v>
      </c>
      <c r="T60" s="14">
        <f t="shared" si="9"/>
        <v>155</v>
      </c>
      <c r="U60" s="14">
        <v>7390.6200000000008</v>
      </c>
      <c r="V60" s="14">
        <f t="shared" si="6"/>
        <v>4000</v>
      </c>
    </row>
    <row r="61" spans="1:22" x14ac:dyDescent="0.2">
      <c r="A61" s="23" t="s">
        <v>20</v>
      </c>
      <c r="B61" s="21" t="s">
        <v>101</v>
      </c>
      <c r="C61" s="14">
        <v>0</v>
      </c>
      <c r="D61" s="14">
        <v>0</v>
      </c>
      <c r="E61" s="14">
        <v>3544.93</v>
      </c>
      <c r="F61" s="14">
        <v>0</v>
      </c>
      <c r="G61" s="14">
        <v>0</v>
      </c>
      <c r="H61" s="14">
        <v>1275</v>
      </c>
      <c r="I61" s="14">
        <v>1275</v>
      </c>
      <c r="J61" s="14">
        <v>-494.92999999999984</v>
      </c>
      <c r="K61" s="14">
        <v>3545.07</v>
      </c>
      <c r="L61" s="14">
        <f t="shared" si="3"/>
        <v>3545.07</v>
      </c>
      <c r="M61" s="14">
        <f t="shared" si="4"/>
        <v>0</v>
      </c>
      <c r="N61" s="14">
        <v>0</v>
      </c>
      <c r="O61" s="14">
        <f t="shared" si="5"/>
        <v>0</v>
      </c>
      <c r="P61" s="14">
        <f t="shared" si="7"/>
        <v>0</v>
      </c>
      <c r="Q61" s="14">
        <v>0</v>
      </c>
      <c r="R61" s="14">
        <f t="shared" si="8"/>
        <v>0</v>
      </c>
      <c r="S61" s="14">
        <v>0</v>
      </c>
      <c r="T61" s="14">
        <f t="shared" si="9"/>
        <v>0</v>
      </c>
      <c r="U61" s="14">
        <v>0</v>
      </c>
      <c r="V61" s="14">
        <f t="shared" si="6"/>
        <v>0</v>
      </c>
    </row>
    <row r="62" spans="1:22" x14ac:dyDescent="0.2">
      <c r="A62" s="23" t="s">
        <v>20</v>
      </c>
      <c r="B62" s="21" t="s">
        <v>223</v>
      </c>
      <c r="C62" s="14">
        <v>236462.35</v>
      </c>
      <c r="D62" s="14">
        <v>238536.04</v>
      </c>
      <c r="E62" s="14">
        <v>239093.68</v>
      </c>
      <c r="F62" s="14">
        <v>656514.6</v>
      </c>
      <c r="G62" s="14">
        <v>666248.48</v>
      </c>
      <c r="H62" s="14">
        <v>13268.829999999987</v>
      </c>
      <c r="I62" s="14">
        <v>-2073.210000000021</v>
      </c>
      <c r="J62" s="14">
        <v>29394.109999999986</v>
      </c>
      <c r="K62" s="14">
        <v>75605.510000000009</v>
      </c>
      <c r="L62" s="14">
        <f t="shared" si="3"/>
        <v>14951.030000000028</v>
      </c>
      <c r="M62" s="14">
        <f t="shared" si="4"/>
        <v>518048</v>
      </c>
      <c r="N62" s="14">
        <v>2014</v>
      </c>
      <c r="O62" s="14">
        <f t="shared" si="5"/>
        <v>17804</v>
      </c>
      <c r="P62" s="14">
        <f t="shared" si="7"/>
        <v>535852</v>
      </c>
      <c r="Q62" s="14">
        <v>605594</v>
      </c>
      <c r="R62" s="14">
        <f t="shared" si="8"/>
        <v>-87546</v>
      </c>
      <c r="S62" s="14">
        <v>9414</v>
      </c>
      <c r="T62" s="14">
        <f t="shared" si="9"/>
        <v>8390</v>
      </c>
      <c r="U62" s="14">
        <v>353262.35</v>
      </c>
      <c r="V62" s="14">
        <f t="shared" si="6"/>
        <v>50000</v>
      </c>
    </row>
    <row r="63" spans="1:22" x14ac:dyDescent="0.2">
      <c r="A63" s="20" t="s">
        <v>13</v>
      </c>
      <c r="B63" s="21" t="s">
        <v>224</v>
      </c>
      <c r="C63" s="14">
        <v>132897.31</v>
      </c>
      <c r="D63" s="14">
        <v>135351.88</v>
      </c>
      <c r="E63" s="14">
        <v>142602.47</v>
      </c>
      <c r="F63" s="14">
        <v>222401.75</v>
      </c>
      <c r="G63" s="14">
        <v>144336.28</v>
      </c>
      <c r="H63" s="14">
        <v>16276.700000000012</v>
      </c>
      <c r="I63" s="14">
        <v>-327.17999999999302</v>
      </c>
      <c r="J63" s="14">
        <v>26599.350000000006</v>
      </c>
      <c r="K63" s="14">
        <v>13304.600000000006</v>
      </c>
      <c r="L63" s="14">
        <f t="shared" si="3"/>
        <v>55825.320000000007</v>
      </c>
      <c r="M63" s="14">
        <f t="shared" si="4"/>
        <v>59644</v>
      </c>
      <c r="N63" s="14">
        <v>534</v>
      </c>
      <c r="O63" s="14">
        <f t="shared" si="5"/>
        <v>4721</v>
      </c>
      <c r="P63" s="14">
        <f t="shared" si="7"/>
        <v>64365</v>
      </c>
      <c r="Q63" s="14">
        <v>186857</v>
      </c>
      <c r="R63" s="14">
        <f t="shared" si="8"/>
        <v>-127213</v>
      </c>
      <c r="S63" s="14">
        <v>3714</v>
      </c>
      <c r="T63" s="14">
        <f t="shared" si="9"/>
        <v>1007</v>
      </c>
      <c r="U63" s="14">
        <v>83162.070000000007</v>
      </c>
      <c r="V63" s="14">
        <f t="shared" si="6"/>
        <v>22000</v>
      </c>
    </row>
    <row r="64" spans="1:22" x14ac:dyDescent="0.2">
      <c r="A64" s="20" t="s">
        <v>13</v>
      </c>
      <c r="B64" s="21" t="s">
        <v>100</v>
      </c>
      <c r="C64" s="14">
        <v>26689.08</v>
      </c>
      <c r="D64" s="14">
        <v>27012</v>
      </c>
      <c r="E64" s="14">
        <v>26341.91</v>
      </c>
      <c r="F64" s="14">
        <v>151853.76999999999</v>
      </c>
      <c r="G64" s="14">
        <v>140322.51999999999</v>
      </c>
      <c r="H64" s="14">
        <v>-3322.8400000000038</v>
      </c>
      <c r="I64" s="14">
        <v>108.15999999999622</v>
      </c>
      <c r="J64" s="14">
        <v>1629.2499999999964</v>
      </c>
      <c r="K64" s="14">
        <v>11030.48000000001</v>
      </c>
      <c r="L64" s="14">
        <f t="shared" si="3"/>
        <v>1377.960000000021</v>
      </c>
      <c r="M64" s="14">
        <f t="shared" si="4"/>
        <v>110880</v>
      </c>
      <c r="N64" s="14">
        <v>374</v>
      </c>
      <c r="O64" s="14">
        <f t="shared" si="5"/>
        <v>3306</v>
      </c>
      <c r="P64" s="14">
        <f t="shared" si="7"/>
        <v>114186</v>
      </c>
      <c r="Q64" s="14">
        <v>130670</v>
      </c>
      <c r="R64" s="14">
        <f t="shared" si="8"/>
        <v>-19790</v>
      </c>
      <c r="S64" s="14">
        <v>1663</v>
      </c>
      <c r="T64" s="14">
        <f t="shared" si="9"/>
        <v>1643</v>
      </c>
      <c r="U64" s="14">
        <v>62978.47</v>
      </c>
      <c r="V64" s="14">
        <f t="shared" si="6"/>
        <v>0</v>
      </c>
    </row>
    <row r="65" spans="1:22" x14ac:dyDescent="0.2">
      <c r="A65" s="20" t="s">
        <v>13</v>
      </c>
      <c r="B65" s="21" t="s">
        <v>225</v>
      </c>
      <c r="C65" s="14">
        <v>22389.8</v>
      </c>
      <c r="D65" s="14">
        <v>19161.16</v>
      </c>
      <c r="E65" s="14">
        <v>15135.72</v>
      </c>
      <c r="F65" s="14">
        <v>77063.81</v>
      </c>
      <c r="G65" s="14">
        <v>78010.5</v>
      </c>
      <c r="H65" s="14">
        <v>16120.560000000001</v>
      </c>
      <c r="I65" s="14">
        <v>4380.4000000000015</v>
      </c>
      <c r="J65" s="14">
        <v>4717.6800000000021</v>
      </c>
      <c r="K65" s="14">
        <v>8001.8700000000099</v>
      </c>
      <c r="L65" s="14">
        <f t="shared" si="3"/>
        <v>489.3700000000099</v>
      </c>
      <c r="M65" s="14">
        <f t="shared" si="4"/>
        <v>61919</v>
      </c>
      <c r="N65" s="14">
        <v>211</v>
      </c>
      <c r="O65" s="14">
        <f t="shared" si="5"/>
        <v>1865</v>
      </c>
      <c r="P65" s="14">
        <f t="shared" si="7"/>
        <v>63784</v>
      </c>
      <c r="Q65" s="14">
        <v>70498</v>
      </c>
      <c r="R65" s="14">
        <f t="shared" si="8"/>
        <v>-8579</v>
      </c>
      <c r="S65" s="14">
        <v>686</v>
      </c>
      <c r="T65" s="14">
        <f t="shared" si="9"/>
        <v>1179</v>
      </c>
      <c r="U65" s="14">
        <v>39997.950000000004</v>
      </c>
      <c r="V65" s="14">
        <f t="shared" si="6"/>
        <v>4000</v>
      </c>
    </row>
    <row r="66" spans="1:22" x14ac:dyDescent="0.2">
      <c r="A66" s="20" t="s">
        <v>13</v>
      </c>
      <c r="B66" s="21" t="s">
        <v>99</v>
      </c>
      <c r="C66" s="14">
        <v>5284.05</v>
      </c>
      <c r="D66" s="14">
        <v>1888.17</v>
      </c>
      <c r="E66" s="14">
        <v>2880.98</v>
      </c>
      <c r="F66" s="14">
        <v>30501.69</v>
      </c>
      <c r="G66" s="14">
        <v>28984.66</v>
      </c>
      <c r="H66" s="14">
        <v>4178.7699999999995</v>
      </c>
      <c r="I66" s="14">
        <v>3395.5999999999995</v>
      </c>
      <c r="J66" s="14">
        <v>1080.6199999999994</v>
      </c>
      <c r="K66" s="14">
        <v>10139.930000000004</v>
      </c>
      <c r="L66" s="14">
        <f t="shared" si="3"/>
        <v>-884.72999999999593</v>
      </c>
      <c r="M66" s="14">
        <f t="shared" si="4"/>
        <v>24072</v>
      </c>
      <c r="N66" s="14">
        <v>95</v>
      </c>
      <c r="O66" s="14">
        <f t="shared" si="5"/>
        <v>840</v>
      </c>
      <c r="P66" s="14">
        <f t="shared" si="7"/>
        <v>24912</v>
      </c>
      <c r="Q66" s="14">
        <v>17960</v>
      </c>
      <c r="R66" s="14">
        <f t="shared" si="8"/>
        <v>6112</v>
      </c>
      <c r="S66" s="14">
        <v>343</v>
      </c>
      <c r="T66" s="14">
        <f t="shared" si="9"/>
        <v>497</v>
      </c>
      <c r="U66" s="14">
        <v>15077.68</v>
      </c>
      <c r="V66" s="14">
        <f t="shared" si="6"/>
        <v>2000</v>
      </c>
    </row>
    <row r="67" spans="1:22" x14ac:dyDescent="0.2">
      <c r="A67" s="20" t="s">
        <v>13</v>
      </c>
      <c r="B67" s="21" t="s">
        <v>98</v>
      </c>
      <c r="C67" s="14">
        <v>8118.47</v>
      </c>
      <c r="D67" s="14">
        <v>5592.38</v>
      </c>
      <c r="E67" s="14">
        <v>5517.23</v>
      </c>
      <c r="F67" s="14">
        <v>25335.88</v>
      </c>
      <c r="G67" s="14">
        <v>19931.990000000002</v>
      </c>
      <c r="H67" s="14">
        <v>6003.6399999999985</v>
      </c>
      <c r="I67" s="14">
        <v>2526.2599999999984</v>
      </c>
      <c r="J67" s="14">
        <v>2093.0299999999988</v>
      </c>
      <c r="K67" s="14">
        <v>4116.1499999999978</v>
      </c>
      <c r="L67" s="14">
        <f t="shared" si="3"/>
        <v>5168.1599999999962</v>
      </c>
      <c r="M67" s="14">
        <f t="shared" si="4"/>
        <v>10777</v>
      </c>
      <c r="N67" s="14">
        <v>80</v>
      </c>
      <c r="O67" s="14">
        <f t="shared" si="5"/>
        <v>707</v>
      </c>
      <c r="P67" s="14">
        <f t="shared" si="7"/>
        <v>11484</v>
      </c>
      <c r="Q67" s="14">
        <v>20984</v>
      </c>
      <c r="R67" s="14">
        <f t="shared" si="8"/>
        <v>-10207</v>
      </c>
      <c r="S67" s="14">
        <v>356</v>
      </c>
      <c r="T67" s="14">
        <f t="shared" si="9"/>
        <v>351</v>
      </c>
      <c r="U67" s="14">
        <v>7098.44</v>
      </c>
      <c r="V67" s="14">
        <f t="shared" si="6"/>
        <v>0</v>
      </c>
    </row>
    <row r="68" spans="1:22" x14ac:dyDescent="0.2">
      <c r="A68" s="20" t="s">
        <v>13</v>
      </c>
      <c r="B68" s="21" t="s">
        <v>97</v>
      </c>
      <c r="C68" s="14">
        <v>27177.49</v>
      </c>
      <c r="D68" s="14">
        <v>32000.62</v>
      </c>
      <c r="E68" s="14">
        <v>33421.839999999997</v>
      </c>
      <c r="F68" s="14">
        <v>70463.38</v>
      </c>
      <c r="G68" s="14">
        <v>81641.7</v>
      </c>
      <c r="H68" s="14">
        <v>19837.210000000003</v>
      </c>
      <c r="I68" s="14">
        <v>3093.5900000000074</v>
      </c>
      <c r="J68" s="14">
        <v>8871.7500000000146</v>
      </c>
      <c r="K68" s="14">
        <v>1660.3700000000099</v>
      </c>
      <c r="L68" s="14">
        <f t="shared" si="3"/>
        <v>5658.6700000000128</v>
      </c>
      <c r="M68" s="14">
        <f t="shared" si="4"/>
        <v>59655</v>
      </c>
      <c r="N68" s="14">
        <v>330</v>
      </c>
      <c r="O68" s="14">
        <f t="shared" si="5"/>
        <v>2917</v>
      </c>
      <c r="P68" s="14">
        <f t="shared" ref="P68:P82" si="10">O68+M68</f>
        <v>62572</v>
      </c>
      <c r="Q68" s="14">
        <v>85640</v>
      </c>
      <c r="R68" s="14">
        <f t="shared" ref="R68:R82" si="11">M68-Q68</f>
        <v>-25985</v>
      </c>
      <c r="S68" s="14">
        <v>1624</v>
      </c>
      <c r="T68" s="14">
        <f t="shared" ref="T68:T82" si="12">O68-S68</f>
        <v>1293</v>
      </c>
      <c r="U68" s="14">
        <v>40586.86</v>
      </c>
      <c r="V68" s="14">
        <f t="shared" si="6"/>
        <v>2000</v>
      </c>
    </row>
    <row r="69" spans="1:22" x14ac:dyDescent="0.2">
      <c r="A69" s="20" t="s">
        <v>13</v>
      </c>
      <c r="B69" s="21" t="s">
        <v>96</v>
      </c>
      <c r="C69" s="14">
        <v>35808.400000000001</v>
      </c>
      <c r="D69" s="14">
        <v>55626.77</v>
      </c>
      <c r="E69" s="14">
        <v>69070.600000000006</v>
      </c>
      <c r="F69" s="14">
        <v>199759.35999999999</v>
      </c>
      <c r="G69" s="14">
        <v>164250.98000000001</v>
      </c>
      <c r="H69" s="14">
        <v>5910.4200000000055</v>
      </c>
      <c r="I69" s="14">
        <v>-846.34999999999127</v>
      </c>
      <c r="J69" s="14">
        <v>7348.0500000000029</v>
      </c>
      <c r="K69" s="14">
        <v>32241.690000000002</v>
      </c>
      <c r="L69" s="14">
        <f t="shared" ref="L69:L82" si="13">K69+Q69-G69</f>
        <v>18148.709999999992</v>
      </c>
      <c r="M69" s="14">
        <f t="shared" ref="M69:M82" si="14">ROUND(IF(G69*M$87-L69&lt;0,0,G69*M$87-L69),0)</f>
        <v>113252</v>
      </c>
      <c r="N69" s="14">
        <v>546</v>
      </c>
      <c r="O69" s="14">
        <f t="shared" ref="O69:O82" si="15">ROUND(N69*O$87,0)</f>
        <v>4827</v>
      </c>
      <c r="P69" s="14">
        <f t="shared" si="10"/>
        <v>118079</v>
      </c>
      <c r="Q69" s="14">
        <v>150158</v>
      </c>
      <c r="R69" s="14">
        <f t="shared" si="11"/>
        <v>-36906</v>
      </c>
      <c r="S69" s="14">
        <v>2704</v>
      </c>
      <c r="T69" s="14">
        <f t="shared" si="12"/>
        <v>2123</v>
      </c>
      <c r="U69" s="14">
        <v>65782.34</v>
      </c>
      <c r="V69" s="14">
        <f t="shared" ref="V69:V82" si="16">ROUND(IF(U69*1.65&gt;L69+M69,U69*1.65-(L69+M69),0),-3)</f>
        <v>0</v>
      </c>
    </row>
    <row r="70" spans="1:22" x14ac:dyDescent="0.2">
      <c r="A70" s="20" t="s">
        <v>13</v>
      </c>
      <c r="B70" s="21" t="s">
        <v>15</v>
      </c>
      <c r="C70" s="14">
        <v>1343935.94</v>
      </c>
      <c r="D70" s="14">
        <v>1424971.78</v>
      </c>
      <c r="E70" s="14">
        <v>1493862.57</v>
      </c>
      <c r="F70" s="14">
        <v>2906712.31</v>
      </c>
      <c r="G70" s="14">
        <v>3501706.68</v>
      </c>
      <c r="H70" s="14">
        <v>94194.310000000056</v>
      </c>
      <c r="I70" s="14">
        <v>12628.530000000028</v>
      </c>
      <c r="J70" s="14">
        <v>94092.959999999963</v>
      </c>
      <c r="K70" s="14">
        <v>45663.649999999907</v>
      </c>
      <c r="L70" s="14">
        <f t="shared" si="13"/>
        <v>41192.969999999739</v>
      </c>
      <c r="M70" s="14">
        <f t="shared" si="14"/>
        <v>2760172</v>
      </c>
      <c r="N70" s="14">
        <v>8558</v>
      </c>
      <c r="O70" s="14">
        <f t="shared" si="15"/>
        <v>75653</v>
      </c>
      <c r="P70" s="14">
        <f t="shared" si="10"/>
        <v>2835825</v>
      </c>
      <c r="Q70" s="14">
        <v>3497236</v>
      </c>
      <c r="R70" s="14">
        <f t="shared" si="11"/>
        <v>-737064</v>
      </c>
      <c r="S70" s="14">
        <v>37720</v>
      </c>
      <c r="T70" s="14">
        <f t="shared" si="12"/>
        <v>37933</v>
      </c>
      <c r="U70" s="14">
        <v>1811141.41</v>
      </c>
      <c r="V70" s="14">
        <f t="shared" si="16"/>
        <v>187000</v>
      </c>
    </row>
    <row r="71" spans="1:22" x14ac:dyDescent="0.2">
      <c r="A71" s="20" t="s">
        <v>10</v>
      </c>
      <c r="B71" s="21" t="s">
        <v>95</v>
      </c>
      <c r="C71" s="14">
        <v>72687.19</v>
      </c>
      <c r="D71" s="14">
        <v>59404.95</v>
      </c>
      <c r="E71" s="14">
        <v>63515.83</v>
      </c>
      <c r="F71" s="14">
        <v>251364.14</v>
      </c>
      <c r="G71" s="14">
        <v>160143.87</v>
      </c>
      <c r="H71" s="14">
        <v>14881.259999999995</v>
      </c>
      <c r="I71" s="14">
        <v>13282.309999999998</v>
      </c>
      <c r="J71" s="14">
        <v>3998.4799999999959</v>
      </c>
      <c r="K71" s="14">
        <v>61575.339999999967</v>
      </c>
      <c r="L71" s="14">
        <f t="shared" si="13"/>
        <v>66083.469999999972</v>
      </c>
      <c r="M71" s="14">
        <f t="shared" si="14"/>
        <v>62032</v>
      </c>
      <c r="N71" s="14">
        <v>381</v>
      </c>
      <c r="O71" s="14">
        <f t="shared" si="15"/>
        <v>3368</v>
      </c>
      <c r="P71" s="14">
        <f t="shared" si="10"/>
        <v>65400</v>
      </c>
      <c r="Q71" s="14">
        <v>164652</v>
      </c>
      <c r="R71" s="14">
        <f t="shared" si="11"/>
        <v>-102620</v>
      </c>
      <c r="S71" s="14">
        <v>1889</v>
      </c>
      <c r="T71" s="14">
        <f t="shared" si="12"/>
        <v>1479</v>
      </c>
      <c r="U71" s="14">
        <v>102305.60000000001</v>
      </c>
      <c r="V71" s="14">
        <f t="shared" si="16"/>
        <v>41000</v>
      </c>
    </row>
    <row r="72" spans="1:22" x14ac:dyDescent="0.2">
      <c r="A72" s="20" t="s">
        <v>10</v>
      </c>
      <c r="B72" s="21" t="s">
        <v>226</v>
      </c>
      <c r="C72" s="14">
        <v>92429.79</v>
      </c>
      <c r="D72" s="14">
        <v>95917.79</v>
      </c>
      <c r="E72" s="14">
        <v>90141.14</v>
      </c>
      <c r="F72" s="14">
        <v>378426.34</v>
      </c>
      <c r="G72" s="14">
        <v>300588.76</v>
      </c>
      <c r="H72" s="14">
        <v>6686.75</v>
      </c>
      <c r="I72" s="14">
        <v>9255.9600000000064</v>
      </c>
      <c r="J72" s="14">
        <v>5776.820000000007</v>
      </c>
      <c r="K72" s="14">
        <v>18820.479999999981</v>
      </c>
      <c r="L72" s="14">
        <f t="shared" si="13"/>
        <v>45711.719999999972</v>
      </c>
      <c r="M72" s="14">
        <f t="shared" si="14"/>
        <v>194759</v>
      </c>
      <c r="N72" s="14">
        <v>885</v>
      </c>
      <c r="O72" s="14">
        <f t="shared" si="15"/>
        <v>7823</v>
      </c>
      <c r="P72" s="14">
        <f t="shared" si="10"/>
        <v>202582</v>
      </c>
      <c r="Q72" s="14">
        <v>327480</v>
      </c>
      <c r="R72" s="14">
        <f t="shared" si="11"/>
        <v>-132721</v>
      </c>
      <c r="S72" s="14">
        <v>4225</v>
      </c>
      <c r="T72" s="14">
        <f t="shared" si="12"/>
        <v>3598</v>
      </c>
      <c r="U72" s="14">
        <v>112688.76</v>
      </c>
      <c r="V72" s="14">
        <f t="shared" si="16"/>
        <v>0</v>
      </c>
    </row>
    <row r="73" spans="1:22" x14ac:dyDescent="0.2">
      <c r="A73" s="20" t="s">
        <v>10</v>
      </c>
      <c r="B73" s="21" t="s">
        <v>227</v>
      </c>
      <c r="C73" s="14">
        <v>695861.44</v>
      </c>
      <c r="D73" s="14">
        <v>658748.30000000005</v>
      </c>
      <c r="E73" s="14">
        <v>601651.26</v>
      </c>
      <c r="F73" s="14">
        <v>1114941.33</v>
      </c>
      <c r="G73" s="14">
        <v>1243349.76</v>
      </c>
      <c r="H73" s="14">
        <v>13935.719999999972</v>
      </c>
      <c r="I73" s="14">
        <v>37113.419999999925</v>
      </c>
      <c r="J73" s="14">
        <v>63925.159999999916</v>
      </c>
      <c r="K73" s="14">
        <v>38806.829999999842</v>
      </c>
      <c r="L73" s="14">
        <f t="shared" si="13"/>
        <v>46050.069999999832</v>
      </c>
      <c r="M73" s="14">
        <f t="shared" si="14"/>
        <v>948630</v>
      </c>
      <c r="N73" s="14">
        <v>3633</v>
      </c>
      <c r="O73" s="14">
        <f t="shared" si="15"/>
        <v>32116</v>
      </c>
      <c r="P73" s="14">
        <f t="shared" si="10"/>
        <v>980746</v>
      </c>
      <c r="Q73" s="14">
        <v>1250593</v>
      </c>
      <c r="R73" s="14">
        <f t="shared" si="11"/>
        <v>-301963</v>
      </c>
      <c r="S73" s="14">
        <v>18543</v>
      </c>
      <c r="T73" s="14">
        <f t="shared" si="12"/>
        <v>13573</v>
      </c>
      <c r="U73" s="14">
        <v>648262.52</v>
      </c>
      <c r="V73" s="14">
        <f t="shared" si="16"/>
        <v>75000</v>
      </c>
    </row>
    <row r="74" spans="1:22" x14ac:dyDescent="0.2">
      <c r="A74" s="20" t="s">
        <v>6</v>
      </c>
      <c r="B74" s="21" t="s">
        <v>228</v>
      </c>
      <c r="C74" s="14">
        <v>66510.22</v>
      </c>
      <c r="D74" s="14">
        <v>87989.84</v>
      </c>
      <c r="E74" s="14">
        <v>86046.82</v>
      </c>
      <c r="F74" s="14">
        <v>148039.67999999999</v>
      </c>
      <c r="G74" s="14">
        <v>148539.28</v>
      </c>
      <c r="H74" s="14">
        <v>4464.1699999999983</v>
      </c>
      <c r="I74" s="14">
        <v>-3343.6699999999983</v>
      </c>
      <c r="J74" s="14">
        <v>17688.509999999995</v>
      </c>
      <c r="K74" s="14">
        <v>6188.8300000000163</v>
      </c>
      <c r="L74" s="14">
        <f t="shared" si="13"/>
        <v>8760.5500000000175</v>
      </c>
      <c r="M74" s="14">
        <f t="shared" si="14"/>
        <v>110071</v>
      </c>
      <c r="N74" s="14">
        <v>579</v>
      </c>
      <c r="O74" s="14">
        <f t="shared" si="15"/>
        <v>5118</v>
      </c>
      <c r="P74" s="14">
        <f t="shared" si="10"/>
        <v>115189</v>
      </c>
      <c r="Q74" s="14">
        <v>151111</v>
      </c>
      <c r="R74" s="14">
        <f t="shared" si="11"/>
        <v>-41040</v>
      </c>
      <c r="S74" s="14">
        <v>3241</v>
      </c>
      <c r="T74" s="14">
        <f t="shared" si="12"/>
        <v>1877</v>
      </c>
      <c r="U74" s="14">
        <v>104591.25</v>
      </c>
      <c r="V74" s="14">
        <f t="shared" si="16"/>
        <v>54000</v>
      </c>
    </row>
    <row r="75" spans="1:22" x14ac:dyDescent="0.2">
      <c r="A75" s="20" t="s">
        <v>6</v>
      </c>
      <c r="B75" s="21" t="s">
        <v>229</v>
      </c>
      <c r="C75" s="14">
        <v>84493.119999999995</v>
      </c>
      <c r="D75" s="14">
        <v>63673.3</v>
      </c>
      <c r="E75" s="14">
        <v>67609.42</v>
      </c>
      <c r="F75" s="14">
        <v>203114.33</v>
      </c>
      <c r="G75" s="14">
        <v>173264.55</v>
      </c>
      <c r="H75" s="14">
        <v>8833.3100000000122</v>
      </c>
      <c r="I75" s="14">
        <v>20820.010000000009</v>
      </c>
      <c r="J75" s="14">
        <v>20468.590000000011</v>
      </c>
      <c r="K75" s="14">
        <v>28506.260000000038</v>
      </c>
      <c r="L75" s="14">
        <f t="shared" si="13"/>
        <v>19135.71000000005</v>
      </c>
      <c r="M75" s="14">
        <f t="shared" si="14"/>
        <v>119476</v>
      </c>
      <c r="N75" s="14">
        <v>519</v>
      </c>
      <c r="O75" s="14">
        <f t="shared" si="15"/>
        <v>4588</v>
      </c>
      <c r="P75" s="14">
        <f t="shared" si="10"/>
        <v>124064</v>
      </c>
      <c r="Q75" s="14">
        <v>163894</v>
      </c>
      <c r="R75" s="14">
        <f t="shared" si="11"/>
        <v>-44418</v>
      </c>
      <c r="S75" s="14">
        <v>1980</v>
      </c>
      <c r="T75" s="14">
        <f t="shared" si="12"/>
        <v>2608</v>
      </c>
      <c r="U75" s="14">
        <v>110609.72</v>
      </c>
      <c r="V75" s="14">
        <f t="shared" si="16"/>
        <v>44000</v>
      </c>
    </row>
    <row r="76" spans="1:22" x14ac:dyDescent="0.2">
      <c r="A76" s="20" t="s">
        <v>6</v>
      </c>
      <c r="B76" s="21" t="s">
        <v>94</v>
      </c>
      <c r="C76" s="14">
        <v>46856.59</v>
      </c>
      <c r="D76" s="14">
        <v>42516.34</v>
      </c>
      <c r="E76" s="14">
        <v>34824.339999999997</v>
      </c>
      <c r="F76" s="14">
        <v>81650.600000000006</v>
      </c>
      <c r="G76" s="14">
        <v>100617.52</v>
      </c>
      <c r="H76" s="14">
        <v>46576.759999999995</v>
      </c>
      <c r="I76" s="14">
        <v>4340.4199999999983</v>
      </c>
      <c r="J76" s="14">
        <v>14281.080000000002</v>
      </c>
      <c r="K76" s="14">
        <v>2212.4799999999959</v>
      </c>
      <c r="L76" s="14">
        <f t="shared" si="13"/>
        <v>1582.9599999999919</v>
      </c>
      <c r="M76" s="14">
        <f t="shared" si="14"/>
        <v>78911</v>
      </c>
      <c r="N76" s="14">
        <v>366</v>
      </c>
      <c r="O76" s="14">
        <f t="shared" si="15"/>
        <v>3235</v>
      </c>
      <c r="P76" s="14">
        <f t="shared" si="10"/>
        <v>82146</v>
      </c>
      <c r="Q76" s="14">
        <v>99988</v>
      </c>
      <c r="R76" s="14">
        <f t="shared" si="11"/>
        <v>-21077</v>
      </c>
      <c r="S76" s="14">
        <v>1488</v>
      </c>
      <c r="T76" s="14">
        <f t="shared" si="12"/>
        <v>1747</v>
      </c>
      <c r="U76" s="14">
        <v>68548.61</v>
      </c>
      <c r="V76" s="14">
        <f t="shared" si="16"/>
        <v>33000</v>
      </c>
    </row>
    <row r="77" spans="1:22" x14ac:dyDescent="0.2">
      <c r="A77" s="20" t="s">
        <v>6</v>
      </c>
      <c r="B77" s="21" t="s">
        <v>5</v>
      </c>
      <c r="C77" s="14">
        <v>140737.94</v>
      </c>
      <c r="D77" s="14">
        <v>110645.31</v>
      </c>
      <c r="E77" s="14">
        <v>109971.8</v>
      </c>
      <c r="F77" s="14">
        <v>280363.01</v>
      </c>
      <c r="G77" s="14">
        <v>266412.24</v>
      </c>
      <c r="H77" s="14">
        <v>29930.97</v>
      </c>
      <c r="I77" s="14">
        <v>30092.660000000003</v>
      </c>
      <c r="J77" s="14">
        <v>3769.8600000000006</v>
      </c>
      <c r="K77" s="14">
        <v>535.84999999997672</v>
      </c>
      <c r="L77" s="14">
        <f t="shared" si="13"/>
        <v>19587.609999999986</v>
      </c>
      <c r="M77" s="14">
        <f t="shared" si="14"/>
        <v>193542</v>
      </c>
      <c r="N77" s="14">
        <v>978</v>
      </c>
      <c r="O77" s="14">
        <f t="shared" si="15"/>
        <v>8646</v>
      </c>
      <c r="P77" s="14">
        <f t="shared" si="10"/>
        <v>202188</v>
      </c>
      <c r="Q77" s="14">
        <v>285464</v>
      </c>
      <c r="R77" s="14">
        <f t="shared" si="11"/>
        <v>-91922</v>
      </c>
      <c r="S77" s="14">
        <v>4736</v>
      </c>
      <c r="T77" s="14">
        <f t="shared" si="12"/>
        <v>3910</v>
      </c>
      <c r="U77" s="14">
        <v>129113.74</v>
      </c>
      <c r="V77" s="14">
        <f t="shared" si="16"/>
        <v>0</v>
      </c>
    </row>
    <row r="78" spans="1:22" x14ac:dyDescent="0.2">
      <c r="A78" s="20" t="s">
        <v>1</v>
      </c>
      <c r="B78" s="21" t="s">
        <v>93</v>
      </c>
      <c r="C78" s="14">
        <v>44806.06</v>
      </c>
      <c r="D78" s="14">
        <v>33548.97</v>
      </c>
      <c r="E78" s="14">
        <v>33920.870000000003</v>
      </c>
      <c r="F78" s="14">
        <v>44728.6</v>
      </c>
      <c r="G78" s="14">
        <v>25705.61</v>
      </c>
      <c r="H78" s="14">
        <v>17626.48000000001</v>
      </c>
      <c r="I78" s="14">
        <v>11257.510000000009</v>
      </c>
      <c r="J78" s="14">
        <v>3839.6400000000067</v>
      </c>
      <c r="K78" s="14">
        <v>4240.0400000000081</v>
      </c>
      <c r="L78" s="14">
        <f t="shared" si="13"/>
        <v>14550.430000000008</v>
      </c>
      <c r="M78" s="14">
        <f t="shared" si="14"/>
        <v>6014</v>
      </c>
      <c r="N78" s="14">
        <v>144</v>
      </c>
      <c r="O78" s="14">
        <f t="shared" si="15"/>
        <v>1273</v>
      </c>
      <c r="P78" s="14">
        <f t="shared" si="10"/>
        <v>7287</v>
      </c>
      <c r="Q78" s="14">
        <v>36016</v>
      </c>
      <c r="R78" s="14">
        <f t="shared" si="11"/>
        <v>-30002</v>
      </c>
      <c r="S78" s="14">
        <v>1190</v>
      </c>
      <c r="T78" s="14">
        <f t="shared" si="12"/>
        <v>83</v>
      </c>
      <c r="U78" s="14">
        <v>18670.079999999998</v>
      </c>
      <c r="V78" s="14">
        <f t="shared" si="16"/>
        <v>10000</v>
      </c>
    </row>
    <row r="79" spans="1:22" x14ac:dyDescent="0.2">
      <c r="A79" s="20" t="s">
        <v>1</v>
      </c>
      <c r="B79" s="21" t="s">
        <v>92</v>
      </c>
      <c r="C79" s="14">
        <v>97398.65</v>
      </c>
      <c r="D79" s="14">
        <v>88898.9</v>
      </c>
      <c r="E79" s="14">
        <v>70233.59</v>
      </c>
      <c r="F79" s="14">
        <v>110279.05</v>
      </c>
      <c r="G79" s="14">
        <v>106700.27</v>
      </c>
      <c r="H79" s="14">
        <v>6363.8499999999913</v>
      </c>
      <c r="I79" s="14">
        <v>8499.9499999999971</v>
      </c>
      <c r="J79" s="14">
        <v>18665.36</v>
      </c>
      <c r="K79" s="14">
        <v>19216.309999999998</v>
      </c>
      <c r="L79" s="14">
        <f t="shared" si="13"/>
        <v>2900.0399999999936</v>
      </c>
      <c r="M79" s="14">
        <f t="shared" si="14"/>
        <v>82460</v>
      </c>
      <c r="N79" s="14">
        <v>434</v>
      </c>
      <c r="O79" s="14">
        <f t="shared" si="15"/>
        <v>3837</v>
      </c>
      <c r="P79" s="14">
        <f t="shared" si="10"/>
        <v>86297</v>
      </c>
      <c r="Q79" s="14">
        <v>90384</v>
      </c>
      <c r="R79" s="14">
        <f t="shared" si="11"/>
        <v>-7924</v>
      </c>
      <c r="S79" s="14">
        <v>2523</v>
      </c>
      <c r="T79" s="14">
        <f t="shared" si="12"/>
        <v>1314</v>
      </c>
      <c r="U79" s="14">
        <v>57064.77</v>
      </c>
      <c r="V79" s="14">
        <f t="shared" si="16"/>
        <v>9000</v>
      </c>
    </row>
    <row r="80" spans="1:22" x14ac:dyDescent="0.2">
      <c r="A80" s="20" t="s">
        <v>1</v>
      </c>
      <c r="B80" s="21" t="s">
        <v>230</v>
      </c>
      <c r="C80" s="14">
        <v>95141.56</v>
      </c>
      <c r="D80" s="14">
        <v>96659.51</v>
      </c>
      <c r="E80" s="14">
        <v>99551.03</v>
      </c>
      <c r="F80" s="14">
        <v>149273.69</v>
      </c>
      <c r="G80" s="14">
        <v>118185.39</v>
      </c>
      <c r="H80" s="14">
        <v>34765.78</v>
      </c>
      <c r="I80" s="14">
        <v>3442.2700000000041</v>
      </c>
      <c r="J80" s="14">
        <v>23042.240000000005</v>
      </c>
      <c r="K80" s="14">
        <v>-2752.4500000000116</v>
      </c>
      <c r="L80" s="14">
        <f t="shared" si="13"/>
        <v>16161.159999999989</v>
      </c>
      <c r="M80" s="14">
        <f t="shared" si="14"/>
        <v>78387</v>
      </c>
      <c r="N80" s="14">
        <v>368</v>
      </c>
      <c r="O80" s="14">
        <f t="shared" si="15"/>
        <v>3253</v>
      </c>
      <c r="P80" s="14">
        <f t="shared" si="10"/>
        <v>81640</v>
      </c>
      <c r="Q80" s="14">
        <v>137099</v>
      </c>
      <c r="R80" s="14">
        <f t="shared" si="11"/>
        <v>-58712</v>
      </c>
      <c r="S80" s="14">
        <v>2607</v>
      </c>
      <c r="T80" s="14">
        <f t="shared" si="12"/>
        <v>646</v>
      </c>
      <c r="U80" s="14">
        <v>63275.9</v>
      </c>
      <c r="V80" s="14">
        <f t="shared" si="16"/>
        <v>10000</v>
      </c>
    </row>
    <row r="81" spans="1:22" x14ac:dyDescent="0.2">
      <c r="A81" s="20" t="s">
        <v>1</v>
      </c>
      <c r="B81" s="21" t="s">
        <v>91</v>
      </c>
      <c r="C81" s="14">
        <v>238422.41</v>
      </c>
      <c r="D81" s="14">
        <v>214429.48</v>
      </c>
      <c r="E81" s="14">
        <v>134409.85</v>
      </c>
      <c r="F81" s="14">
        <v>223612.57</v>
      </c>
      <c r="G81" s="14">
        <v>201608.19</v>
      </c>
      <c r="H81" s="14">
        <v>34753.409999999945</v>
      </c>
      <c r="I81" s="14">
        <v>23992.929999999935</v>
      </c>
      <c r="J81" s="14">
        <v>80020.079999999929</v>
      </c>
      <c r="K81" s="14">
        <v>5840.509999999922</v>
      </c>
      <c r="L81" s="14">
        <f t="shared" si="13"/>
        <v>23791.31999999992</v>
      </c>
      <c r="M81" s="14">
        <f t="shared" si="14"/>
        <v>137495</v>
      </c>
      <c r="N81" s="14">
        <v>758</v>
      </c>
      <c r="O81" s="14">
        <f t="shared" si="15"/>
        <v>6701</v>
      </c>
      <c r="P81" s="14">
        <f t="shared" si="10"/>
        <v>144196</v>
      </c>
      <c r="Q81" s="14">
        <v>219559</v>
      </c>
      <c r="R81" s="14">
        <f t="shared" si="11"/>
        <v>-82064</v>
      </c>
      <c r="S81" s="14">
        <v>4743</v>
      </c>
      <c r="T81" s="14">
        <f t="shared" si="12"/>
        <v>1958</v>
      </c>
      <c r="U81" s="14">
        <v>126610.94</v>
      </c>
      <c r="V81" s="14">
        <f t="shared" si="16"/>
        <v>48000</v>
      </c>
    </row>
    <row r="82" spans="1:22" x14ac:dyDescent="0.2">
      <c r="A82" s="20" t="s">
        <v>1</v>
      </c>
      <c r="B82" s="21" t="s">
        <v>0</v>
      </c>
      <c r="C82" s="14">
        <v>271385.42</v>
      </c>
      <c r="D82" s="14">
        <v>258453.39</v>
      </c>
      <c r="E82" s="14">
        <v>244286.54</v>
      </c>
      <c r="F82" s="14">
        <v>635445.5</v>
      </c>
      <c r="G82" s="14">
        <v>729226.09</v>
      </c>
      <c r="H82" s="14">
        <v>48109.169999999984</v>
      </c>
      <c r="I82" s="14">
        <v>12931.77999999997</v>
      </c>
      <c r="J82" s="14">
        <v>32193.239999999962</v>
      </c>
      <c r="K82" s="14">
        <v>18961.739999999991</v>
      </c>
      <c r="L82" s="14">
        <f t="shared" si="13"/>
        <v>21573.650000000023</v>
      </c>
      <c r="M82" s="14">
        <f t="shared" si="14"/>
        <v>561807</v>
      </c>
      <c r="N82" s="14">
        <v>2059</v>
      </c>
      <c r="O82" s="14">
        <f t="shared" si="15"/>
        <v>18202</v>
      </c>
      <c r="P82" s="14">
        <f t="shared" si="10"/>
        <v>580009</v>
      </c>
      <c r="Q82" s="14">
        <v>731838</v>
      </c>
      <c r="R82" s="14">
        <f t="shared" si="11"/>
        <v>-170031</v>
      </c>
      <c r="S82" s="14">
        <v>8650</v>
      </c>
      <c r="T82" s="14">
        <f t="shared" si="12"/>
        <v>9552</v>
      </c>
      <c r="U82" s="14">
        <v>352613.31</v>
      </c>
      <c r="V82" s="14">
        <f t="shared" si="16"/>
        <v>0</v>
      </c>
    </row>
    <row r="83" spans="1:22" x14ac:dyDescent="0.2">
      <c r="A83" s="209" t="s">
        <v>149</v>
      </c>
      <c r="B83" s="209"/>
      <c r="C83" s="25">
        <f>SUM(C4:C82)</f>
        <v>15952817.540000003</v>
      </c>
      <c r="D83" s="25">
        <f>SUM(D4:D82)</f>
        <v>15903942.820000002</v>
      </c>
      <c r="E83" s="25">
        <f>SUM(E4:E82)</f>
        <v>16166779.43</v>
      </c>
      <c r="F83" s="25">
        <f>SUM(F4:F82)</f>
        <v>39873829.5</v>
      </c>
      <c r="G83" s="25">
        <f>SUM(G4:G82)</f>
        <v>45049944</v>
      </c>
      <c r="H83" s="25">
        <f t="shared" ref="H83:M83" si="17">SUM(H4:H82)</f>
        <v>2402395.7800000007</v>
      </c>
      <c r="I83" s="25">
        <f t="shared" si="17"/>
        <v>1028727.9600000004</v>
      </c>
      <c r="J83" s="25">
        <f t="shared" si="17"/>
        <v>1888454.530000001</v>
      </c>
      <c r="K83" s="25">
        <f t="shared" si="17"/>
        <v>1357560.0300000005</v>
      </c>
      <c r="L83" s="25">
        <f t="shared" si="17"/>
        <v>1515704.0299999979</v>
      </c>
      <c r="M83" s="25">
        <f t="shared" si="17"/>
        <v>34527797</v>
      </c>
      <c r="N83" s="25">
        <f t="shared" ref="N83:O83" si="18">SUM(N4:N82)</f>
        <v>123681</v>
      </c>
      <c r="O83" s="25">
        <f t="shared" si="18"/>
        <v>1093340</v>
      </c>
      <c r="P83" s="25">
        <f t="shared" ref="P83" si="19">SUM(P4:P82)</f>
        <v>35621137</v>
      </c>
      <c r="Q83" s="25">
        <f t="shared" ref="Q83:T83" si="20">SUM(Q4:Q82)</f>
        <v>45208088</v>
      </c>
      <c r="R83" s="25">
        <f t="shared" si="20"/>
        <v>-10680291</v>
      </c>
      <c r="S83" s="25">
        <f t="shared" si="20"/>
        <v>538493</v>
      </c>
      <c r="T83" s="25">
        <f t="shared" si="20"/>
        <v>554847</v>
      </c>
      <c r="U83" s="25">
        <f t="shared" ref="U83:V83" si="21">SUM(U4:U82)</f>
        <v>24365543.250000004</v>
      </c>
      <c r="V83" s="25">
        <f t="shared" si="21"/>
        <v>4389000</v>
      </c>
    </row>
    <row r="84" spans="1:22" x14ac:dyDescent="0.2">
      <c r="C84" s="56"/>
      <c r="D84" s="56">
        <f>D83/C83-1</f>
        <v>-3.0637045698951315E-3</v>
      </c>
      <c r="E84" s="56">
        <f>E83/D83-1</f>
        <v>1.6526506223945026E-2</v>
      </c>
      <c r="F84" s="56">
        <f>F83/E83-1</f>
        <v>1.4664052399952858</v>
      </c>
      <c r="G84" s="56">
        <f>G83/F83-1</f>
        <v>0.12981232464767389</v>
      </c>
      <c r="O84" t="s">
        <v>392</v>
      </c>
      <c r="P84" s="2">
        <f>KOOND!P86</f>
        <v>38581640</v>
      </c>
    </row>
    <row r="85" spans="1:22" x14ac:dyDescent="0.2">
      <c r="H85" t="s">
        <v>349</v>
      </c>
      <c r="I85" s="2">
        <f>SUMIF(I4:I82,"&lt;0")</f>
        <v>-129631.6799999995</v>
      </c>
      <c r="J85" s="2">
        <f>SUMIF(J4:J82,"&lt;0")</f>
        <v>-3095.4399999999987</v>
      </c>
      <c r="K85" s="2">
        <f>SUMIF(K4:K82,"&lt;0")</f>
        <v>-57587.139999999978</v>
      </c>
      <c r="L85" s="2">
        <f>SUMIF(L4:L82,"&lt;0")</f>
        <v>-72179.820000000283</v>
      </c>
      <c r="O85" t="s">
        <v>164</v>
      </c>
      <c r="P85" s="2">
        <f>P84-P83</f>
        <v>2960503</v>
      </c>
      <c r="V85" s="2">
        <f>P85-V83</f>
        <v>-1428497</v>
      </c>
    </row>
    <row r="87" spans="1:22" x14ac:dyDescent="0.2">
      <c r="I87" s="26"/>
      <c r="J87" s="26"/>
      <c r="K87" s="26"/>
      <c r="L87" s="26"/>
      <c r="M87" s="76">
        <v>0.8</v>
      </c>
      <c r="O87" s="75">
        <v>8.84</v>
      </c>
      <c r="V87">
        <f>COUNTIF(V4:V82,"&gt;0")</f>
        <v>58</v>
      </c>
    </row>
  </sheetData>
  <mergeCells count="15">
    <mergeCell ref="A83:B83"/>
    <mergeCell ref="M1:M3"/>
    <mergeCell ref="Q1:Q3"/>
    <mergeCell ref="O1:O3"/>
    <mergeCell ref="P1:P3"/>
    <mergeCell ref="A1:A3"/>
    <mergeCell ref="B1:B3"/>
    <mergeCell ref="N1:N3"/>
    <mergeCell ref="C1:G2"/>
    <mergeCell ref="H1:L2"/>
    <mergeCell ref="U1:U2"/>
    <mergeCell ref="V1:V3"/>
    <mergeCell ref="R1:R3"/>
    <mergeCell ref="S1:S3"/>
    <mergeCell ref="T1:T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5"/>
  <sheetViews>
    <sheetView workbookViewId="0">
      <pane xSplit="2" ySplit="3" topLeftCell="C61" activePane="bottomRight" state="frozen"/>
      <selection pane="topRight" activeCell="D1" sqref="D1"/>
      <selection pane="bottomLeft" activeCell="A4" sqref="A4"/>
      <selection pane="bottomRight" activeCell="G86" sqref="G86"/>
    </sheetView>
  </sheetViews>
  <sheetFormatPr defaultRowHeight="12.75" x14ac:dyDescent="0.2"/>
  <cols>
    <col min="1" max="1" width="9.5703125" bestFit="1" customWidth="1"/>
    <col min="2" max="2" width="19.28515625" customWidth="1"/>
    <col min="3" max="3" width="16.5703125" customWidth="1"/>
    <col min="4" max="4" width="15.7109375" customWidth="1"/>
    <col min="5" max="5" width="10.28515625" customWidth="1"/>
    <col min="7" max="7" width="9.5703125" bestFit="1" customWidth="1"/>
  </cols>
  <sheetData>
    <row r="1" spans="1:7" ht="32.25" customHeight="1" x14ac:dyDescent="0.2">
      <c r="A1" s="189" t="s">
        <v>148</v>
      </c>
      <c r="B1" s="189" t="s">
        <v>147</v>
      </c>
      <c r="C1" s="239" t="s">
        <v>491</v>
      </c>
      <c r="D1" s="239"/>
      <c r="E1" s="240" t="s">
        <v>396</v>
      </c>
      <c r="F1" s="239" t="s">
        <v>368</v>
      </c>
      <c r="G1" s="239" t="s">
        <v>191</v>
      </c>
    </row>
    <row r="2" spans="1:7" ht="36" customHeight="1" x14ac:dyDescent="0.2">
      <c r="A2" s="189"/>
      <c r="B2" s="189"/>
      <c r="C2" s="239"/>
      <c r="D2" s="239"/>
      <c r="E2" s="240"/>
      <c r="F2" s="192"/>
      <c r="G2" s="192"/>
    </row>
    <row r="3" spans="1:7" x14ac:dyDescent="0.2">
      <c r="A3" s="189"/>
      <c r="B3" s="189"/>
      <c r="C3" s="168" t="s">
        <v>196</v>
      </c>
      <c r="D3" s="168" t="s">
        <v>197</v>
      </c>
      <c r="E3" s="216"/>
      <c r="F3" s="192"/>
      <c r="G3" s="192"/>
    </row>
    <row r="4" spans="1:7" x14ac:dyDescent="0.2">
      <c r="A4" s="20" t="s">
        <v>69</v>
      </c>
      <c r="B4" s="21" t="s">
        <v>138</v>
      </c>
      <c r="C4" s="13">
        <v>16</v>
      </c>
      <c r="D4" s="13">
        <v>4</v>
      </c>
      <c r="E4" s="14">
        <f t="shared" ref="E4:E7" si="0">ROUND(($C4+$D4*$C$87)*C$88,0)</f>
        <v>12043</v>
      </c>
      <c r="F4" s="14">
        <v>12320</v>
      </c>
      <c r="G4" s="14">
        <f>E4-F4</f>
        <v>-277</v>
      </c>
    </row>
    <row r="5" spans="1:7" x14ac:dyDescent="0.2">
      <c r="A5" s="20" t="s">
        <v>69</v>
      </c>
      <c r="B5" s="21" t="s">
        <v>137</v>
      </c>
      <c r="C5" s="13">
        <v>54</v>
      </c>
      <c r="D5" s="13">
        <v>8</v>
      </c>
      <c r="E5" s="14">
        <f t="shared" si="0"/>
        <v>33550</v>
      </c>
      <c r="F5" s="14">
        <v>30601</v>
      </c>
      <c r="G5" s="14">
        <f t="shared" ref="G5:G68" si="1">E5-F5</f>
        <v>2949</v>
      </c>
    </row>
    <row r="6" spans="1:7" x14ac:dyDescent="0.2">
      <c r="A6" s="20" t="s">
        <v>69</v>
      </c>
      <c r="B6" s="21" t="s">
        <v>136</v>
      </c>
      <c r="C6" s="13">
        <v>19</v>
      </c>
      <c r="D6" s="13">
        <v>2</v>
      </c>
      <c r="E6" s="14">
        <f t="shared" si="0"/>
        <v>10753</v>
      </c>
      <c r="F6" s="14">
        <v>9538</v>
      </c>
      <c r="G6" s="14">
        <f t="shared" si="1"/>
        <v>1215</v>
      </c>
    </row>
    <row r="7" spans="1:7" x14ac:dyDescent="0.2">
      <c r="A7" s="20" t="s">
        <v>69</v>
      </c>
      <c r="B7" s="21" t="s">
        <v>81</v>
      </c>
      <c r="C7" s="13">
        <v>49</v>
      </c>
      <c r="D7" s="13">
        <v>5</v>
      </c>
      <c r="E7" s="14">
        <f t="shared" si="0"/>
        <v>27528</v>
      </c>
      <c r="F7" s="14">
        <v>28614</v>
      </c>
      <c r="G7" s="14">
        <f t="shared" si="1"/>
        <v>-1086</v>
      </c>
    </row>
    <row r="8" spans="1:7" x14ac:dyDescent="0.2">
      <c r="A8" s="20" t="s">
        <v>69</v>
      </c>
      <c r="B8" s="21" t="s">
        <v>135</v>
      </c>
      <c r="C8" s="13">
        <v>27</v>
      </c>
      <c r="D8" s="13">
        <v>2</v>
      </c>
      <c r="E8" s="14">
        <v>12904</v>
      </c>
      <c r="F8" s="14">
        <v>12717</v>
      </c>
      <c r="G8" s="14">
        <f t="shared" si="1"/>
        <v>187</v>
      </c>
    </row>
    <row r="9" spans="1:7" x14ac:dyDescent="0.2">
      <c r="A9" s="20" t="s">
        <v>69</v>
      </c>
      <c r="B9" s="21" t="s">
        <v>134</v>
      </c>
      <c r="C9" s="13">
        <v>29</v>
      </c>
      <c r="D9" s="13">
        <v>2</v>
      </c>
      <c r="E9" s="14">
        <v>15054</v>
      </c>
      <c r="F9" s="14">
        <v>17089</v>
      </c>
      <c r="G9" s="14">
        <f t="shared" si="1"/>
        <v>-2035</v>
      </c>
    </row>
    <row r="10" spans="1:7" x14ac:dyDescent="0.2">
      <c r="A10" s="20" t="s">
        <v>69</v>
      </c>
      <c r="B10" s="21" t="s">
        <v>133</v>
      </c>
      <c r="C10" s="13">
        <v>19</v>
      </c>
      <c r="D10" s="13">
        <v>2</v>
      </c>
      <c r="E10" s="14">
        <v>9463</v>
      </c>
      <c r="F10" s="14">
        <v>12320</v>
      </c>
      <c r="G10" s="14">
        <f t="shared" si="1"/>
        <v>-2857</v>
      </c>
    </row>
    <row r="11" spans="1:7" x14ac:dyDescent="0.2">
      <c r="A11" s="20" t="s">
        <v>69</v>
      </c>
      <c r="B11" s="21" t="s">
        <v>83</v>
      </c>
      <c r="C11" s="13">
        <v>2</v>
      </c>
      <c r="D11" s="13">
        <v>0</v>
      </c>
      <c r="E11" s="14">
        <v>860</v>
      </c>
      <c r="F11" s="14">
        <v>1192</v>
      </c>
      <c r="G11" s="14">
        <f t="shared" si="1"/>
        <v>-332</v>
      </c>
    </row>
    <row r="12" spans="1:7" x14ac:dyDescent="0.2">
      <c r="A12" s="20" t="s">
        <v>69</v>
      </c>
      <c r="B12" s="21" t="s">
        <v>231</v>
      </c>
      <c r="C12" s="13">
        <v>49</v>
      </c>
      <c r="D12" s="13">
        <v>4</v>
      </c>
      <c r="E12" s="14">
        <v>26238</v>
      </c>
      <c r="F12" s="14">
        <v>29409</v>
      </c>
      <c r="G12" s="14">
        <f t="shared" si="1"/>
        <v>-3171</v>
      </c>
    </row>
    <row r="13" spans="1:7" x14ac:dyDescent="0.2">
      <c r="A13" s="20" t="s">
        <v>69</v>
      </c>
      <c r="B13" s="22" t="s">
        <v>68</v>
      </c>
      <c r="C13" s="13">
        <v>37</v>
      </c>
      <c r="D13" s="13">
        <v>3</v>
      </c>
      <c r="E13" s="14">
        <v>19786</v>
      </c>
      <c r="F13" s="14">
        <v>19474</v>
      </c>
      <c r="G13" s="14">
        <f t="shared" si="1"/>
        <v>312</v>
      </c>
    </row>
    <row r="14" spans="1:7" x14ac:dyDescent="0.2">
      <c r="A14" s="20" t="s">
        <v>69</v>
      </c>
      <c r="B14" s="21" t="s">
        <v>132</v>
      </c>
      <c r="C14" s="13">
        <v>21</v>
      </c>
      <c r="D14" s="13">
        <v>2</v>
      </c>
      <c r="E14" s="14">
        <v>10323</v>
      </c>
      <c r="F14" s="14">
        <v>9936</v>
      </c>
      <c r="G14" s="14">
        <f t="shared" si="1"/>
        <v>387</v>
      </c>
    </row>
    <row r="15" spans="1:7" x14ac:dyDescent="0.2">
      <c r="A15" s="20" t="s">
        <v>69</v>
      </c>
      <c r="B15" s="21" t="s">
        <v>131</v>
      </c>
      <c r="C15" s="13">
        <v>78</v>
      </c>
      <c r="D15" s="13">
        <v>9</v>
      </c>
      <c r="E15" s="14">
        <v>45163</v>
      </c>
      <c r="F15" s="14">
        <v>47293</v>
      </c>
      <c r="G15" s="14">
        <f t="shared" si="1"/>
        <v>-2130</v>
      </c>
    </row>
    <row r="16" spans="1:7" x14ac:dyDescent="0.2">
      <c r="A16" s="20" t="s">
        <v>69</v>
      </c>
      <c r="B16" s="21" t="s">
        <v>130</v>
      </c>
      <c r="C16" s="13">
        <v>40</v>
      </c>
      <c r="D16" s="13">
        <v>3</v>
      </c>
      <c r="E16" s="14">
        <v>21076</v>
      </c>
      <c r="F16" s="14">
        <v>22653</v>
      </c>
      <c r="G16" s="14">
        <f t="shared" si="1"/>
        <v>-1577</v>
      </c>
    </row>
    <row r="17" spans="1:7" x14ac:dyDescent="0.2">
      <c r="A17" s="20" t="s">
        <v>69</v>
      </c>
      <c r="B17" s="21" t="s">
        <v>129</v>
      </c>
      <c r="C17" s="13">
        <v>92</v>
      </c>
      <c r="D17" s="13">
        <v>9</v>
      </c>
      <c r="E17" s="14">
        <v>51185</v>
      </c>
      <c r="F17" s="14">
        <v>46896</v>
      </c>
      <c r="G17" s="14">
        <f t="shared" si="1"/>
        <v>4289</v>
      </c>
    </row>
    <row r="18" spans="1:7" x14ac:dyDescent="0.2">
      <c r="A18" s="20" t="s">
        <v>69</v>
      </c>
      <c r="B18" s="21" t="s">
        <v>213</v>
      </c>
      <c r="C18" s="13">
        <v>1210</v>
      </c>
      <c r="D18" s="13">
        <v>192</v>
      </c>
      <c r="E18" s="14">
        <v>768203</v>
      </c>
      <c r="F18" s="14">
        <v>752714</v>
      </c>
      <c r="G18" s="14">
        <f t="shared" si="1"/>
        <v>15489</v>
      </c>
    </row>
    <row r="19" spans="1:7" x14ac:dyDescent="0.2">
      <c r="A19" s="20" t="s">
        <v>69</v>
      </c>
      <c r="B19" s="21" t="s">
        <v>128</v>
      </c>
      <c r="C19" s="13">
        <v>74</v>
      </c>
      <c r="D19" s="13">
        <v>11</v>
      </c>
      <c r="E19" s="14">
        <v>46023</v>
      </c>
      <c r="F19" s="14">
        <v>46101</v>
      </c>
      <c r="G19" s="14">
        <f t="shared" si="1"/>
        <v>-78</v>
      </c>
    </row>
    <row r="20" spans="1:7" x14ac:dyDescent="0.2">
      <c r="A20" s="20" t="s">
        <v>67</v>
      </c>
      <c r="B20" s="21" t="s">
        <v>217</v>
      </c>
      <c r="C20" s="13">
        <v>25</v>
      </c>
      <c r="D20" s="13">
        <v>3</v>
      </c>
      <c r="E20" s="14">
        <v>14624</v>
      </c>
      <c r="F20" s="14">
        <v>17089</v>
      </c>
      <c r="G20" s="14">
        <f t="shared" si="1"/>
        <v>-2465</v>
      </c>
    </row>
    <row r="21" spans="1:7" x14ac:dyDescent="0.2">
      <c r="A21" s="20" t="s">
        <v>58</v>
      </c>
      <c r="B21" s="21" t="s">
        <v>218</v>
      </c>
      <c r="C21" s="13">
        <v>14</v>
      </c>
      <c r="D21" s="13">
        <v>0</v>
      </c>
      <c r="E21" s="14">
        <v>6022</v>
      </c>
      <c r="F21" s="14">
        <v>8346</v>
      </c>
      <c r="G21" s="14">
        <f t="shared" si="1"/>
        <v>-2324</v>
      </c>
    </row>
    <row r="22" spans="1:7" x14ac:dyDescent="0.2">
      <c r="A22" s="20" t="s">
        <v>58</v>
      </c>
      <c r="B22" s="21" t="s">
        <v>127</v>
      </c>
      <c r="C22" s="13">
        <v>31</v>
      </c>
      <c r="D22" s="13">
        <v>3</v>
      </c>
      <c r="E22" s="14">
        <v>17205</v>
      </c>
      <c r="F22" s="14">
        <v>16692</v>
      </c>
      <c r="G22" s="14">
        <f t="shared" si="1"/>
        <v>513</v>
      </c>
    </row>
    <row r="23" spans="1:7" x14ac:dyDescent="0.2">
      <c r="A23" s="20" t="s">
        <v>58</v>
      </c>
      <c r="B23" s="21" t="s">
        <v>57</v>
      </c>
      <c r="C23" s="13">
        <v>135</v>
      </c>
      <c r="D23" s="13">
        <v>13</v>
      </c>
      <c r="E23" s="14">
        <v>74842</v>
      </c>
      <c r="F23" s="14">
        <v>71933</v>
      </c>
      <c r="G23" s="14">
        <f t="shared" si="1"/>
        <v>2909</v>
      </c>
    </row>
    <row r="24" spans="1:7" x14ac:dyDescent="0.2">
      <c r="A24" s="20" t="s">
        <v>58</v>
      </c>
      <c r="B24" s="21" t="s">
        <v>126</v>
      </c>
      <c r="C24" s="13">
        <v>31</v>
      </c>
      <c r="D24" s="13">
        <v>2</v>
      </c>
      <c r="E24" s="14">
        <v>14624</v>
      </c>
      <c r="F24" s="14">
        <v>15499</v>
      </c>
      <c r="G24" s="14">
        <f t="shared" si="1"/>
        <v>-875</v>
      </c>
    </row>
    <row r="25" spans="1:7" x14ac:dyDescent="0.2">
      <c r="A25" s="20" t="s">
        <v>58</v>
      </c>
      <c r="B25" s="21" t="s">
        <v>59</v>
      </c>
      <c r="C25" s="13">
        <v>147</v>
      </c>
      <c r="D25" s="13">
        <v>36</v>
      </c>
      <c r="E25" s="14">
        <v>109682</v>
      </c>
      <c r="F25" s="14">
        <v>113662</v>
      </c>
      <c r="G25" s="14">
        <f t="shared" si="1"/>
        <v>-3980</v>
      </c>
    </row>
    <row r="26" spans="1:7" x14ac:dyDescent="0.2">
      <c r="A26" s="20" t="s">
        <v>58</v>
      </c>
      <c r="B26" s="21" t="s">
        <v>62</v>
      </c>
      <c r="C26" s="13">
        <v>9</v>
      </c>
      <c r="D26" s="13">
        <v>0</v>
      </c>
      <c r="E26" s="14">
        <v>3871</v>
      </c>
      <c r="F26" s="14">
        <v>4372</v>
      </c>
      <c r="G26" s="14">
        <f t="shared" si="1"/>
        <v>-501</v>
      </c>
    </row>
    <row r="27" spans="1:7" x14ac:dyDescent="0.2">
      <c r="A27" s="20" t="s">
        <v>58</v>
      </c>
      <c r="B27" s="21" t="s">
        <v>61</v>
      </c>
      <c r="C27" s="13">
        <v>44</v>
      </c>
      <c r="D27" s="13">
        <v>2</v>
      </c>
      <c r="E27" s="14">
        <v>20216</v>
      </c>
      <c r="F27" s="14">
        <v>19474</v>
      </c>
      <c r="G27" s="14">
        <f t="shared" si="1"/>
        <v>742</v>
      </c>
    </row>
    <row r="28" spans="1:7" x14ac:dyDescent="0.2">
      <c r="A28" s="20" t="s">
        <v>58</v>
      </c>
      <c r="B28" s="21" t="s">
        <v>64</v>
      </c>
      <c r="C28" s="13">
        <v>11</v>
      </c>
      <c r="D28" s="13">
        <v>0</v>
      </c>
      <c r="E28" s="14">
        <v>4731</v>
      </c>
      <c r="F28" s="14">
        <v>4769</v>
      </c>
      <c r="G28" s="14">
        <f t="shared" si="1"/>
        <v>-38</v>
      </c>
    </row>
    <row r="29" spans="1:7" x14ac:dyDescent="0.2">
      <c r="A29" s="20" t="s">
        <v>55</v>
      </c>
      <c r="B29" s="21" t="s">
        <v>125</v>
      </c>
      <c r="C29" s="13">
        <v>44</v>
      </c>
      <c r="D29" s="13">
        <v>6</v>
      </c>
      <c r="E29" s="14">
        <v>26668</v>
      </c>
      <c r="F29" s="14">
        <v>26627</v>
      </c>
      <c r="G29" s="14">
        <f t="shared" si="1"/>
        <v>41</v>
      </c>
    </row>
    <row r="30" spans="1:7" x14ac:dyDescent="0.2">
      <c r="A30" s="20" t="s">
        <v>55</v>
      </c>
      <c r="B30" s="21" t="s">
        <v>219</v>
      </c>
      <c r="C30" s="13">
        <v>10</v>
      </c>
      <c r="D30" s="13">
        <v>5</v>
      </c>
      <c r="E30" s="14">
        <v>10753</v>
      </c>
      <c r="F30" s="14">
        <v>9141</v>
      </c>
      <c r="G30" s="14">
        <f t="shared" si="1"/>
        <v>1612</v>
      </c>
    </row>
    <row r="31" spans="1:7" x14ac:dyDescent="0.2">
      <c r="A31" s="20" t="s">
        <v>55</v>
      </c>
      <c r="B31" s="21" t="s">
        <v>124</v>
      </c>
      <c r="C31" s="13">
        <v>32</v>
      </c>
      <c r="D31" s="13">
        <v>3</v>
      </c>
      <c r="E31" s="14">
        <v>17635</v>
      </c>
      <c r="F31" s="14">
        <v>19474</v>
      </c>
      <c r="G31" s="14">
        <f t="shared" si="1"/>
        <v>-1839</v>
      </c>
    </row>
    <row r="32" spans="1:7" x14ac:dyDescent="0.2">
      <c r="A32" s="20" t="s">
        <v>52</v>
      </c>
      <c r="B32" s="21" t="s">
        <v>220</v>
      </c>
      <c r="C32" s="13">
        <v>53</v>
      </c>
      <c r="D32" s="13">
        <v>3</v>
      </c>
      <c r="E32" s="14">
        <v>26668</v>
      </c>
      <c r="F32" s="14">
        <v>25435</v>
      </c>
      <c r="G32" s="14">
        <f t="shared" si="1"/>
        <v>1233</v>
      </c>
    </row>
    <row r="33" spans="1:7" x14ac:dyDescent="0.2">
      <c r="A33" s="20" t="s">
        <v>52</v>
      </c>
      <c r="B33" s="21" t="s">
        <v>51</v>
      </c>
      <c r="C33" s="13">
        <v>51</v>
      </c>
      <c r="D33" s="13">
        <v>3</v>
      </c>
      <c r="E33" s="14">
        <v>25807</v>
      </c>
      <c r="F33" s="14">
        <v>29012</v>
      </c>
      <c r="G33" s="14">
        <f t="shared" si="1"/>
        <v>-3205</v>
      </c>
    </row>
    <row r="34" spans="1:7" x14ac:dyDescent="0.2">
      <c r="A34" s="20" t="s">
        <v>52</v>
      </c>
      <c r="B34" s="21" t="s">
        <v>123</v>
      </c>
      <c r="C34" s="13">
        <v>43</v>
      </c>
      <c r="D34" s="13">
        <v>5</v>
      </c>
      <c r="E34" s="14">
        <v>24947</v>
      </c>
      <c r="F34" s="14">
        <v>25037</v>
      </c>
      <c r="G34" s="14">
        <f t="shared" si="1"/>
        <v>-90</v>
      </c>
    </row>
    <row r="35" spans="1:7" x14ac:dyDescent="0.2">
      <c r="A35" s="20" t="s">
        <v>47</v>
      </c>
      <c r="B35" s="21" t="s">
        <v>48</v>
      </c>
      <c r="C35" s="13">
        <v>47</v>
      </c>
      <c r="D35" s="13">
        <v>6</v>
      </c>
      <c r="E35" s="14">
        <v>27958</v>
      </c>
      <c r="F35" s="14">
        <v>27819</v>
      </c>
      <c r="G35" s="14">
        <f t="shared" si="1"/>
        <v>139</v>
      </c>
    </row>
    <row r="36" spans="1:7" x14ac:dyDescent="0.2">
      <c r="A36" s="20" t="s">
        <v>47</v>
      </c>
      <c r="B36" s="21" t="s">
        <v>122</v>
      </c>
      <c r="C36" s="13">
        <v>19</v>
      </c>
      <c r="D36" s="13">
        <v>4</v>
      </c>
      <c r="E36" s="14">
        <v>13334</v>
      </c>
      <c r="F36" s="14">
        <v>12320</v>
      </c>
      <c r="G36" s="14">
        <f t="shared" si="1"/>
        <v>1014</v>
      </c>
    </row>
    <row r="37" spans="1:7" x14ac:dyDescent="0.2">
      <c r="A37" s="20" t="s">
        <v>47</v>
      </c>
      <c r="B37" s="21" t="s">
        <v>121</v>
      </c>
      <c r="C37" s="13">
        <v>2</v>
      </c>
      <c r="D37" s="13">
        <v>0</v>
      </c>
      <c r="E37" s="14">
        <v>430</v>
      </c>
      <c r="F37" s="14">
        <v>397</v>
      </c>
      <c r="G37" s="14">
        <f t="shared" si="1"/>
        <v>33</v>
      </c>
    </row>
    <row r="38" spans="1:7" x14ac:dyDescent="0.2">
      <c r="A38" s="20" t="s">
        <v>38</v>
      </c>
      <c r="B38" s="21" t="s">
        <v>120</v>
      </c>
      <c r="C38" s="13">
        <v>7</v>
      </c>
      <c r="D38" s="13">
        <v>0</v>
      </c>
      <c r="E38" s="14">
        <v>3011</v>
      </c>
      <c r="F38" s="14">
        <v>3179</v>
      </c>
      <c r="G38" s="14">
        <f t="shared" si="1"/>
        <v>-168</v>
      </c>
    </row>
    <row r="39" spans="1:7" x14ac:dyDescent="0.2">
      <c r="A39" s="20" t="s">
        <v>38</v>
      </c>
      <c r="B39" s="21" t="s">
        <v>119</v>
      </c>
      <c r="C39" s="13">
        <v>19</v>
      </c>
      <c r="D39" s="13">
        <v>4</v>
      </c>
      <c r="E39" s="14">
        <v>13334</v>
      </c>
      <c r="F39" s="14">
        <v>14307</v>
      </c>
      <c r="G39" s="14">
        <f t="shared" si="1"/>
        <v>-973</v>
      </c>
    </row>
    <row r="40" spans="1:7" x14ac:dyDescent="0.2">
      <c r="A40" s="20" t="s">
        <v>38</v>
      </c>
      <c r="B40" s="21" t="s">
        <v>118</v>
      </c>
      <c r="C40" s="13">
        <v>26</v>
      </c>
      <c r="D40" s="13">
        <v>2</v>
      </c>
      <c r="E40" s="14">
        <v>13764</v>
      </c>
      <c r="F40" s="14">
        <v>13115</v>
      </c>
      <c r="G40" s="14">
        <f t="shared" si="1"/>
        <v>649</v>
      </c>
    </row>
    <row r="41" spans="1:7" x14ac:dyDescent="0.2">
      <c r="A41" s="20" t="s">
        <v>38</v>
      </c>
      <c r="B41" s="21" t="s">
        <v>37</v>
      </c>
      <c r="C41" s="13">
        <v>51</v>
      </c>
      <c r="D41" s="13">
        <v>5</v>
      </c>
      <c r="E41" s="14">
        <v>28388</v>
      </c>
      <c r="F41" s="14">
        <v>30999</v>
      </c>
      <c r="G41" s="14">
        <f t="shared" si="1"/>
        <v>-2611</v>
      </c>
    </row>
    <row r="42" spans="1:7" x14ac:dyDescent="0.2">
      <c r="A42" s="20" t="s">
        <v>38</v>
      </c>
      <c r="B42" s="21" t="s">
        <v>117</v>
      </c>
      <c r="C42" s="13">
        <v>54</v>
      </c>
      <c r="D42" s="13">
        <v>5</v>
      </c>
      <c r="E42" s="14">
        <v>29679</v>
      </c>
      <c r="F42" s="14">
        <v>27819</v>
      </c>
      <c r="G42" s="14">
        <f t="shared" si="1"/>
        <v>1860</v>
      </c>
    </row>
    <row r="43" spans="1:7" x14ac:dyDescent="0.2">
      <c r="A43" s="20" t="s">
        <v>38</v>
      </c>
      <c r="B43" s="21" t="s">
        <v>116</v>
      </c>
      <c r="C43" s="13">
        <v>30</v>
      </c>
      <c r="D43" s="13">
        <v>0</v>
      </c>
      <c r="E43" s="14">
        <v>12904</v>
      </c>
      <c r="F43" s="14">
        <v>11923</v>
      </c>
      <c r="G43" s="14">
        <f t="shared" si="1"/>
        <v>981</v>
      </c>
    </row>
    <row r="44" spans="1:7" x14ac:dyDescent="0.2">
      <c r="A44" s="20" t="s">
        <v>38</v>
      </c>
      <c r="B44" s="21" t="s">
        <v>115</v>
      </c>
      <c r="C44" s="13">
        <v>32</v>
      </c>
      <c r="D44" s="13">
        <v>2</v>
      </c>
      <c r="E44" s="14">
        <v>16345</v>
      </c>
      <c r="F44" s="14">
        <v>14705</v>
      </c>
      <c r="G44" s="14">
        <f t="shared" si="1"/>
        <v>1640</v>
      </c>
    </row>
    <row r="45" spans="1:7" x14ac:dyDescent="0.2">
      <c r="A45" s="20" t="s">
        <v>38</v>
      </c>
      <c r="B45" s="21" t="s">
        <v>114</v>
      </c>
      <c r="C45" s="13">
        <v>21</v>
      </c>
      <c r="D45" s="13">
        <v>4</v>
      </c>
      <c r="E45" s="14">
        <v>14194</v>
      </c>
      <c r="F45" s="14">
        <v>15102</v>
      </c>
      <c r="G45" s="14">
        <f t="shared" si="1"/>
        <v>-908</v>
      </c>
    </row>
    <row r="46" spans="1:7" x14ac:dyDescent="0.2">
      <c r="A46" s="20" t="s">
        <v>35</v>
      </c>
      <c r="B46" s="21" t="s">
        <v>113</v>
      </c>
      <c r="C46" s="13">
        <v>19</v>
      </c>
      <c r="D46" s="13">
        <v>2</v>
      </c>
      <c r="E46" s="14">
        <v>10753</v>
      </c>
      <c r="F46" s="14">
        <v>9141</v>
      </c>
      <c r="G46" s="14">
        <f t="shared" si="1"/>
        <v>1612</v>
      </c>
    </row>
    <row r="47" spans="1:7" x14ac:dyDescent="0.2">
      <c r="A47" s="20" t="s">
        <v>35</v>
      </c>
      <c r="B47" s="21" t="s">
        <v>112</v>
      </c>
      <c r="C47" s="13">
        <v>58</v>
      </c>
      <c r="D47" s="13">
        <v>7</v>
      </c>
      <c r="E47" s="14">
        <v>33980</v>
      </c>
      <c r="F47" s="14">
        <v>29012</v>
      </c>
      <c r="G47" s="14">
        <f t="shared" si="1"/>
        <v>4968</v>
      </c>
    </row>
    <row r="48" spans="1:7" x14ac:dyDescent="0.2">
      <c r="A48" s="20" t="s">
        <v>35</v>
      </c>
      <c r="B48" s="21" t="s">
        <v>111</v>
      </c>
      <c r="C48" s="13">
        <v>26</v>
      </c>
      <c r="D48" s="13">
        <v>6</v>
      </c>
      <c r="E48" s="14">
        <v>18925</v>
      </c>
      <c r="F48" s="14">
        <v>18281</v>
      </c>
      <c r="G48" s="14">
        <f t="shared" si="1"/>
        <v>644</v>
      </c>
    </row>
    <row r="49" spans="1:7" x14ac:dyDescent="0.2">
      <c r="A49" s="20" t="s">
        <v>28</v>
      </c>
      <c r="B49" s="21" t="s">
        <v>110</v>
      </c>
      <c r="C49" s="13">
        <v>8</v>
      </c>
      <c r="D49" s="13">
        <v>5</v>
      </c>
      <c r="E49" s="14">
        <v>9893</v>
      </c>
      <c r="F49" s="14">
        <v>9538</v>
      </c>
      <c r="G49" s="14">
        <f t="shared" si="1"/>
        <v>355</v>
      </c>
    </row>
    <row r="50" spans="1:7" x14ac:dyDescent="0.2">
      <c r="A50" s="20" t="s">
        <v>28</v>
      </c>
      <c r="B50" s="21" t="s">
        <v>109</v>
      </c>
      <c r="C50" s="13">
        <v>0</v>
      </c>
      <c r="D50" s="13">
        <v>0</v>
      </c>
      <c r="E50" s="14">
        <v>0</v>
      </c>
      <c r="F50" s="14">
        <v>0</v>
      </c>
      <c r="G50" s="14">
        <f t="shared" si="1"/>
        <v>0</v>
      </c>
    </row>
    <row r="51" spans="1:7" x14ac:dyDescent="0.2">
      <c r="A51" s="20" t="s">
        <v>28</v>
      </c>
      <c r="B51" s="21" t="s">
        <v>221</v>
      </c>
      <c r="C51" s="13">
        <v>19</v>
      </c>
      <c r="D51" s="13">
        <v>0</v>
      </c>
      <c r="E51" s="14">
        <v>8172</v>
      </c>
      <c r="F51" s="14">
        <v>8743</v>
      </c>
      <c r="G51" s="14">
        <f t="shared" si="1"/>
        <v>-571</v>
      </c>
    </row>
    <row r="52" spans="1:7" x14ac:dyDescent="0.2">
      <c r="A52" s="20" t="s">
        <v>28</v>
      </c>
      <c r="B52" s="21" t="s">
        <v>222</v>
      </c>
      <c r="C52" s="13">
        <v>25</v>
      </c>
      <c r="D52" s="13">
        <v>2</v>
      </c>
      <c r="E52" s="14">
        <v>13334</v>
      </c>
      <c r="F52" s="14">
        <v>11923</v>
      </c>
      <c r="G52" s="14">
        <f t="shared" si="1"/>
        <v>1411</v>
      </c>
    </row>
    <row r="53" spans="1:7" x14ac:dyDescent="0.2">
      <c r="A53" s="20" t="s">
        <v>28</v>
      </c>
      <c r="B53" s="21" t="s">
        <v>30</v>
      </c>
      <c r="C53" s="13">
        <v>181</v>
      </c>
      <c r="D53" s="13">
        <v>28</v>
      </c>
      <c r="E53" s="14">
        <v>113983</v>
      </c>
      <c r="F53" s="14">
        <v>112867</v>
      </c>
      <c r="G53" s="14">
        <f t="shared" si="1"/>
        <v>1116</v>
      </c>
    </row>
    <row r="54" spans="1:7" x14ac:dyDescent="0.2">
      <c r="A54" s="20" t="s">
        <v>28</v>
      </c>
      <c r="B54" s="21" t="s">
        <v>108</v>
      </c>
      <c r="C54" s="13">
        <v>8</v>
      </c>
      <c r="D54" s="13">
        <v>0</v>
      </c>
      <c r="E54" s="14">
        <v>3441</v>
      </c>
      <c r="F54" s="14">
        <v>4372</v>
      </c>
      <c r="G54" s="14">
        <f t="shared" si="1"/>
        <v>-931</v>
      </c>
    </row>
    <row r="55" spans="1:7" x14ac:dyDescent="0.2">
      <c r="A55" s="20" t="s">
        <v>28</v>
      </c>
      <c r="B55" s="21" t="s">
        <v>107</v>
      </c>
      <c r="C55" s="13">
        <v>51</v>
      </c>
      <c r="D55" s="13">
        <v>5</v>
      </c>
      <c r="E55" s="14">
        <v>28388</v>
      </c>
      <c r="F55" s="14">
        <v>32191</v>
      </c>
      <c r="G55" s="14">
        <f t="shared" si="1"/>
        <v>-3803</v>
      </c>
    </row>
    <row r="56" spans="1:7" x14ac:dyDescent="0.2">
      <c r="A56" s="20" t="s">
        <v>24</v>
      </c>
      <c r="B56" s="21" t="s">
        <v>106</v>
      </c>
      <c r="C56" s="13">
        <v>24</v>
      </c>
      <c r="D56" s="13">
        <v>0</v>
      </c>
      <c r="E56" s="14">
        <v>10323</v>
      </c>
      <c r="F56" s="14">
        <v>10333</v>
      </c>
      <c r="G56" s="14">
        <f t="shared" si="1"/>
        <v>-10</v>
      </c>
    </row>
    <row r="57" spans="1:7" x14ac:dyDescent="0.2">
      <c r="A57" s="20" t="s">
        <v>24</v>
      </c>
      <c r="B57" s="21" t="s">
        <v>105</v>
      </c>
      <c r="C57" s="13">
        <v>29</v>
      </c>
      <c r="D57" s="13">
        <v>2</v>
      </c>
      <c r="E57" s="14">
        <v>15054</v>
      </c>
      <c r="F57" s="14">
        <v>13910</v>
      </c>
      <c r="G57" s="14">
        <f t="shared" si="1"/>
        <v>1144</v>
      </c>
    </row>
    <row r="58" spans="1:7" x14ac:dyDescent="0.2">
      <c r="A58" s="20" t="s">
        <v>24</v>
      </c>
      <c r="B58" s="21" t="s">
        <v>104</v>
      </c>
      <c r="C58" s="13">
        <v>19</v>
      </c>
      <c r="D58" s="13">
        <v>2</v>
      </c>
      <c r="E58" s="14">
        <v>10753</v>
      </c>
      <c r="F58" s="14">
        <v>11128</v>
      </c>
      <c r="G58" s="14">
        <f t="shared" si="1"/>
        <v>-375</v>
      </c>
    </row>
    <row r="59" spans="1:7" x14ac:dyDescent="0.2">
      <c r="A59" s="20" t="s">
        <v>24</v>
      </c>
      <c r="B59" s="21" t="s">
        <v>103</v>
      </c>
      <c r="C59" s="13">
        <v>54</v>
      </c>
      <c r="D59" s="13">
        <v>6</v>
      </c>
      <c r="E59" s="14">
        <v>30969</v>
      </c>
      <c r="F59" s="14">
        <v>33781</v>
      </c>
      <c r="G59" s="14">
        <f t="shared" si="1"/>
        <v>-2812</v>
      </c>
    </row>
    <row r="60" spans="1:7" x14ac:dyDescent="0.2">
      <c r="A60" s="20" t="s">
        <v>20</v>
      </c>
      <c r="B60" s="21" t="s">
        <v>102</v>
      </c>
      <c r="C60" s="13">
        <v>2</v>
      </c>
      <c r="D60" s="13">
        <v>0</v>
      </c>
      <c r="E60" s="14">
        <v>860</v>
      </c>
      <c r="F60" s="14">
        <v>795</v>
      </c>
      <c r="G60" s="14">
        <f t="shared" si="1"/>
        <v>65</v>
      </c>
    </row>
    <row r="61" spans="1:7" x14ac:dyDescent="0.2">
      <c r="A61" s="23" t="s">
        <v>20</v>
      </c>
      <c r="B61" s="21" t="s">
        <v>101</v>
      </c>
      <c r="C61" s="13">
        <v>0</v>
      </c>
      <c r="D61" s="13">
        <v>0</v>
      </c>
      <c r="E61" s="14">
        <v>0</v>
      </c>
      <c r="F61" s="14">
        <v>0</v>
      </c>
      <c r="G61" s="14">
        <f t="shared" si="1"/>
        <v>0</v>
      </c>
    </row>
    <row r="62" spans="1:7" x14ac:dyDescent="0.2">
      <c r="A62" s="23" t="s">
        <v>20</v>
      </c>
      <c r="B62" s="21" t="s">
        <v>223</v>
      </c>
      <c r="C62" s="13">
        <v>99</v>
      </c>
      <c r="D62" s="13">
        <v>11</v>
      </c>
      <c r="E62" s="14">
        <v>56776</v>
      </c>
      <c r="F62" s="14">
        <v>59613</v>
      </c>
      <c r="G62" s="14">
        <f t="shared" si="1"/>
        <v>-2837</v>
      </c>
    </row>
    <row r="63" spans="1:7" x14ac:dyDescent="0.2">
      <c r="A63" s="20" t="s">
        <v>13</v>
      </c>
      <c r="B63" s="21" t="s">
        <v>224</v>
      </c>
      <c r="C63" s="13">
        <v>75</v>
      </c>
      <c r="D63" s="13">
        <v>10</v>
      </c>
      <c r="E63" s="14">
        <v>45163</v>
      </c>
      <c r="F63" s="14">
        <v>40139</v>
      </c>
      <c r="G63" s="14">
        <f t="shared" si="1"/>
        <v>5024</v>
      </c>
    </row>
    <row r="64" spans="1:7" x14ac:dyDescent="0.2">
      <c r="A64" s="20" t="s">
        <v>13</v>
      </c>
      <c r="B64" s="21" t="s">
        <v>100</v>
      </c>
      <c r="C64" s="13">
        <v>52</v>
      </c>
      <c r="D64" s="13">
        <v>0</v>
      </c>
      <c r="E64" s="14">
        <v>22366</v>
      </c>
      <c r="F64" s="14">
        <v>21063</v>
      </c>
      <c r="G64" s="14">
        <f t="shared" si="1"/>
        <v>1303</v>
      </c>
    </row>
    <row r="65" spans="1:7" x14ac:dyDescent="0.2">
      <c r="A65" s="20" t="s">
        <v>13</v>
      </c>
      <c r="B65" s="21" t="s">
        <v>225</v>
      </c>
      <c r="C65" s="13">
        <v>28</v>
      </c>
      <c r="D65" s="13">
        <v>2</v>
      </c>
      <c r="E65" s="14">
        <v>13334</v>
      </c>
      <c r="F65" s="14">
        <v>15499</v>
      </c>
      <c r="G65" s="14">
        <f t="shared" si="1"/>
        <v>-2165</v>
      </c>
    </row>
    <row r="66" spans="1:7" x14ac:dyDescent="0.2">
      <c r="A66" s="20" t="s">
        <v>13</v>
      </c>
      <c r="B66" s="21" t="s">
        <v>99</v>
      </c>
      <c r="C66" s="13">
        <v>25</v>
      </c>
      <c r="D66" s="13">
        <v>2</v>
      </c>
      <c r="E66" s="14">
        <v>12043</v>
      </c>
      <c r="F66" s="14">
        <v>10333</v>
      </c>
      <c r="G66" s="14">
        <f t="shared" si="1"/>
        <v>1710</v>
      </c>
    </row>
    <row r="67" spans="1:7" x14ac:dyDescent="0.2">
      <c r="A67" s="20" t="s">
        <v>13</v>
      </c>
      <c r="B67" s="21" t="s">
        <v>98</v>
      </c>
      <c r="C67" s="13">
        <v>17</v>
      </c>
      <c r="D67" s="13">
        <v>6</v>
      </c>
      <c r="E67" s="14">
        <v>15054</v>
      </c>
      <c r="F67" s="14">
        <v>13115</v>
      </c>
      <c r="G67" s="14">
        <f t="shared" si="1"/>
        <v>1939</v>
      </c>
    </row>
    <row r="68" spans="1:7" x14ac:dyDescent="0.2">
      <c r="A68" s="20" t="s">
        <v>13</v>
      </c>
      <c r="B68" s="21" t="s">
        <v>97</v>
      </c>
      <c r="C68" s="13">
        <v>10</v>
      </c>
      <c r="D68" s="13">
        <v>0</v>
      </c>
      <c r="E68" s="14">
        <v>4301</v>
      </c>
      <c r="F68" s="14">
        <v>3974</v>
      </c>
      <c r="G68" s="14">
        <f t="shared" si="1"/>
        <v>327</v>
      </c>
    </row>
    <row r="69" spans="1:7" x14ac:dyDescent="0.2">
      <c r="A69" s="20" t="s">
        <v>13</v>
      </c>
      <c r="B69" s="21" t="s">
        <v>96</v>
      </c>
      <c r="C69" s="13">
        <v>41</v>
      </c>
      <c r="D69" s="13">
        <v>5</v>
      </c>
      <c r="E69" s="14">
        <v>24087</v>
      </c>
      <c r="F69" s="14">
        <v>25435</v>
      </c>
      <c r="G69" s="14">
        <f t="shared" ref="G69:G82" si="2">E69-F69</f>
        <v>-1348</v>
      </c>
    </row>
    <row r="70" spans="1:7" x14ac:dyDescent="0.2">
      <c r="A70" s="20" t="s">
        <v>13</v>
      </c>
      <c r="B70" s="21" t="s">
        <v>15</v>
      </c>
      <c r="C70" s="13">
        <v>419</v>
      </c>
      <c r="D70" s="13">
        <v>52</v>
      </c>
      <c r="E70" s="14">
        <v>247322</v>
      </c>
      <c r="F70" s="14">
        <v>246798</v>
      </c>
      <c r="G70" s="14">
        <f t="shared" si="2"/>
        <v>524</v>
      </c>
    </row>
    <row r="71" spans="1:7" x14ac:dyDescent="0.2">
      <c r="A71" s="20" t="s">
        <v>10</v>
      </c>
      <c r="B71" s="21" t="s">
        <v>95</v>
      </c>
      <c r="C71" s="13">
        <v>18</v>
      </c>
      <c r="D71" s="13">
        <v>2</v>
      </c>
      <c r="E71" s="14">
        <v>9033</v>
      </c>
      <c r="F71" s="14">
        <v>9538</v>
      </c>
      <c r="G71" s="14">
        <f t="shared" si="2"/>
        <v>-505</v>
      </c>
    </row>
    <row r="72" spans="1:7" x14ac:dyDescent="0.2">
      <c r="A72" s="20" t="s">
        <v>10</v>
      </c>
      <c r="B72" s="21" t="s">
        <v>226</v>
      </c>
      <c r="C72" s="13">
        <v>21</v>
      </c>
      <c r="D72" s="13">
        <v>2</v>
      </c>
      <c r="E72" s="14">
        <v>11613</v>
      </c>
      <c r="F72" s="14">
        <v>12717</v>
      </c>
      <c r="G72" s="14">
        <f t="shared" si="2"/>
        <v>-1104</v>
      </c>
    </row>
    <row r="73" spans="1:7" x14ac:dyDescent="0.2">
      <c r="A73" s="20" t="s">
        <v>10</v>
      </c>
      <c r="B73" s="21" t="s">
        <v>227</v>
      </c>
      <c r="C73" s="13">
        <v>66</v>
      </c>
      <c r="D73" s="13">
        <v>8</v>
      </c>
      <c r="E73" s="14">
        <v>38711</v>
      </c>
      <c r="F73" s="14">
        <v>44114</v>
      </c>
      <c r="G73" s="14">
        <f t="shared" si="2"/>
        <v>-5403</v>
      </c>
    </row>
    <row r="74" spans="1:7" x14ac:dyDescent="0.2">
      <c r="A74" s="20" t="s">
        <v>6</v>
      </c>
      <c r="B74" s="21" t="s">
        <v>228</v>
      </c>
      <c r="C74" s="13">
        <v>25</v>
      </c>
      <c r="D74" s="13">
        <v>3</v>
      </c>
      <c r="E74" s="14">
        <v>14624</v>
      </c>
      <c r="F74" s="14">
        <v>23050</v>
      </c>
      <c r="G74" s="14">
        <f t="shared" si="2"/>
        <v>-8426</v>
      </c>
    </row>
    <row r="75" spans="1:7" x14ac:dyDescent="0.2">
      <c r="A75" s="20" t="s">
        <v>6</v>
      </c>
      <c r="B75" s="21" t="s">
        <v>229</v>
      </c>
      <c r="C75" s="13">
        <v>31</v>
      </c>
      <c r="D75" s="13">
        <v>2</v>
      </c>
      <c r="E75" s="14">
        <v>14624</v>
      </c>
      <c r="F75" s="14">
        <v>17089</v>
      </c>
      <c r="G75" s="14">
        <f t="shared" si="2"/>
        <v>-2465</v>
      </c>
    </row>
    <row r="76" spans="1:7" x14ac:dyDescent="0.2">
      <c r="A76" s="20" t="s">
        <v>6</v>
      </c>
      <c r="B76" s="21" t="s">
        <v>94</v>
      </c>
      <c r="C76" s="13">
        <v>52</v>
      </c>
      <c r="D76" s="13">
        <v>2</v>
      </c>
      <c r="E76" s="14">
        <v>24947</v>
      </c>
      <c r="F76" s="14">
        <v>26230</v>
      </c>
      <c r="G76" s="14">
        <f t="shared" si="2"/>
        <v>-1283</v>
      </c>
    </row>
    <row r="77" spans="1:7" x14ac:dyDescent="0.2">
      <c r="A77" s="20" t="s">
        <v>6</v>
      </c>
      <c r="B77" s="21" t="s">
        <v>5</v>
      </c>
      <c r="C77" s="13">
        <v>76</v>
      </c>
      <c r="D77" s="13">
        <v>7</v>
      </c>
      <c r="E77" s="14">
        <v>41722</v>
      </c>
      <c r="F77" s="14">
        <v>39345</v>
      </c>
      <c r="G77" s="14">
        <f t="shared" si="2"/>
        <v>2377</v>
      </c>
    </row>
    <row r="78" spans="1:7" x14ac:dyDescent="0.2">
      <c r="A78" s="20" t="s">
        <v>1</v>
      </c>
      <c r="B78" s="21" t="s">
        <v>93</v>
      </c>
      <c r="C78" s="13">
        <v>23</v>
      </c>
      <c r="D78" s="13">
        <v>2</v>
      </c>
      <c r="E78" s="14">
        <v>11183</v>
      </c>
      <c r="F78" s="14">
        <v>9936</v>
      </c>
      <c r="G78" s="14">
        <f t="shared" si="2"/>
        <v>1247</v>
      </c>
    </row>
    <row r="79" spans="1:7" x14ac:dyDescent="0.2">
      <c r="A79" s="20" t="s">
        <v>1</v>
      </c>
      <c r="B79" s="21" t="s">
        <v>92</v>
      </c>
      <c r="C79" s="13">
        <v>12</v>
      </c>
      <c r="D79" s="13">
        <v>0</v>
      </c>
      <c r="E79" s="14">
        <f t="shared" ref="E79:E82" si="3">ROUND(($C79+$D79*$C$87)*C$88,0)</f>
        <v>5161</v>
      </c>
      <c r="F79" s="14">
        <v>6756</v>
      </c>
      <c r="G79" s="14">
        <f t="shared" si="2"/>
        <v>-1595</v>
      </c>
    </row>
    <row r="80" spans="1:7" x14ac:dyDescent="0.2">
      <c r="A80" s="20" t="s">
        <v>1</v>
      </c>
      <c r="B80" s="21" t="s">
        <v>230</v>
      </c>
      <c r="C80" s="13">
        <v>4</v>
      </c>
      <c r="D80" s="13">
        <v>0</v>
      </c>
      <c r="E80" s="14">
        <f t="shared" si="3"/>
        <v>1720</v>
      </c>
      <c r="F80" s="14">
        <v>1192</v>
      </c>
      <c r="G80" s="14">
        <f t="shared" si="2"/>
        <v>528</v>
      </c>
    </row>
    <row r="81" spans="1:7" x14ac:dyDescent="0.2">
      <c r="A81" s="20" t="s">
        <v>1</v>
      </c>
      <c r="B81" s="21" t="s">
        <v>91</v>
      </c>
      <c r="C81" s="13">
        <v>33</v>
      </c>
      <c r="D81" s="13">
        <v>2</v>
      </c>
      <c r="E81" s="14">
        <f t="shared" si="3"/>
        <v>16775</v>
      </c>
      <c r="F81" s="14">
        <v>14705</v>
      </c>
      <c r="G81" s="14">
        <f t="shared" si="2"/>
        <v>2070</v>
      </c>
    </row>
    <row r="82" spans="1:7" x14ac:dyDescent="0.2">
      <c r="A82" s="20" t="s">
        <v>1</v>
      </c>
      <c r="B82" s="21" t="s">
        <v>0</v>
      </c>
      <c r="C82" s="13">
        <v>40</v>
      </c>
      <c r="D82" s="13">
        <v>9</v>
      </c>
      <c r="E82" s="14">
        <f t="shared" si="3"/>
        <v>28818</v>
      </c>
      <c r="F82" s="14">
        <v>26230</v>
      </c>
      <c r="G82" s="14">
        <f t="shared" si="2"/>
        <v>2588</v>
      </c>
    </row>
    <row r="83" spans="1:7" x14ac:dyDescent="0.2">
      <c r="A83" s="238" t="s">
        <v>149</v>
      </c>
      <c r="B83" s="238"/>
      <c r="C83" s="17">
        <f>SUM(C4:C82)</f>
        <v>4494</v>
      </c>
      <c r="D83" s="17">
        <f>SUM(D4:D82)</f>
        <v>566</v>
      </c>
      <c r="E83" s="17">
        <f t="shared" ref="E83" si="4">SUM(E4:E82)</f>
        <v>2649993</v>
      </c>
      <c r="F83" s="17">
        <f t="shared" ref="F83" si="5">SUM(F4:F82)</f>
        <v>2650000</v>
      </c>
      <c r="G83" s="17">
        <f t="shared" ref="G83" si="6">SUM(G4:G82)</f>
        <v>-7</v>
      </c>
    </row>
    <row r="84" spans="1:7" x14ac:dyDescent="0.2">
      <c r="D84" t="s">
        <v>392</v>
      </c>
      <c r="E84" s="2">
        <f>KOOND!O86</f>
        <v>2650000</v>
      </c>
    </row>
    <row r="85" spans="1:7" x14ac:dyDescent="0.2">
      <c r="D85" t="s">
        <v>164</v>
      </c>
      <c r="E85" s="15">
        <f>E84-E83</f>
        <v>7</v>
      </c>
    </row>
    <row r="87" spans="1:7" x14ac:dyDescent="0.2">
      <c r="A87" s="57" t="s">
        <v>198</v>
      </c>
      <c r="C87" s="30">
        <v>3</v>
      </c>
    </row>
    <row r="88" spans="1:7" x14ac:dyDescent="0.2">
      <c r="A88" s="83" t="s">
        <v>384</v>
      </c>
      <c r="C88" s="31">
        <v>430.12490000000003</v>
      </c>
      <c r="D88" s="24"/>
    </row>
    <row r="89" spans="1:7" x14ac:dyDescent="0.2">
      <c r="A89" s="83" t="s">
        <v>385</v>
      </c>
      <c r="C89" s="31">
        <f>C87*C88</f>
        <v>1290.3747000000001</v>
      </c>
    </row>
    <row r="93" spans="1:7" x14ac:dyDescent="0.2">
      <c r="C93" s="2"/>
      <c r="D93" s="2"/>
    </row>
    <row r="94" spans="1:7" x14ac:dyDescent="0.2">
      <c r="C94" s="2"/>
      <c r="D94" s="2"/>
    </row>
    <row r="95" spans="1:7" x14ac:dyDescent="0.2">
      <c r="C95" s="2"/>
      <c r="D95" s="2"/>
    </row>
  </sheetData>
  <mergeCells count="7">
    <mergeCell ref="A83:B83"/>
    <mergeCell ref="C1:D2"/>
    <mergeCell ref="F1:F3"/>
    <mergeCell ref="G1:G3"/>
    <mergeCell ref="A1:A3"/>
    <mergeCell ref="B1:B3"/>
    <mergeCell ref="E1:E3"/>
  </mergeCells>
  <conditionalFormatting sqref="C4:D82">
    <cfRule type="cellIs" dxfId="1" priority="1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95"/>
  <sheetViews>
    <sheetView workbookViewId="0">
      <pane xSplit="2" ySplit="3" topLeftCell="O73" activePane="bottomRight" state="frozen"/>
      <selection pane="topRight" activeCell="D1" sqref="D1"/>
      <selection pane="bottomLeft" activeCell="A4" sqref="A4"/>
      <selection pane="bottomRight" activeCell="Y87" sqref="Y87"/>
    </sheetView>
  </sheetViews>
  <sheetFormatPr defaultColWidth="9.28515625" defaultRowHeight="12.75" x14ac:dyDescent="0.2"/>
  <cols>
    <col min="1" max="1" width="9.5703125" style="1" bestFit="1" customWidth="1"/>
    <col min="2" max="2" width="19.28515625" style="1" customWidth="1"/>
    <col min="3" max="3" width="7.42578125" style="1" bestFit="1" customWidth="1"/>
    <col min="4" max="4" width="15.42578125" style="1" customWidth="1"/>
    <col min="5" max="5" width="8.28515625" style="1" bestFit="1" customWidth="1"/>
    <col min="6" max="6" width="11.5703125" style="1" customWidth="1"/>
    <col min="7" max="7" width="5.5703125" style="1" bestFit="1" customWidth="1"/>
    <col min="8" max="8" width="6.5703125" style="1" bestFit="1" customWidth="1"/>
    <col min="9" max="9" width="7.5703125" style="1" customWidth="1"/>
    <col min="10" max="10" width="8.28515625" style="1" bestFit="1" customWidth="1"/>
    <col min="11" max="12" width="8.42578125" style="1" customWidth="1"/>
    <col min="13" max="13" width="13" style="1" customWidth="1"/>
    <col min="14" max="15" width="17.5703125" style="1" customWidth="1"/>
    <col min="16" max="17" width="13.42578125" style="1" customWidth="1"/>
    <col min="18" max="18" width="12.5703125" style="1" customWidth="1"/>
    <col min="19" max="21" width="14" style="1" customWidth="1"/>
    <col min="22" max="22" width="13" style="1" customWidth="1"/>
    <col min="23" max="23" width="10.42578125" style="1" customWidth="1"/>
    <col min="24" max="24" width="12.5703125" style="1" customWidth="1"/>
    <col min="25" max="25" width="9.42578125" style="1" customWidth="1"/>
    <col min="26" max="26" width="13.5703125" style="1" customWidth="1"/>
    <col min="27" max="27" width="14" style="1" customWidth="1"/>
    <col min="28" max="28" width="9.28515625" style="1"/>
    <col min="29" max="29" width="9.7109375" style="1" customWidth="1"/>
    <col min="30" max="16384" width="9.28515625" style="1"/>
  </cols>
  <sheetData>
    <row r="1" spans="1:30" ht="12.75" customHeight="1" x14ac:dyDescent="0.2">
      <c r="A1" s="189" t="s">
        <v>148</v>
      </c>
      <c r="B1" s="189" t="s">
        <v>147</v>
      </c>
      <c r="C1" s="189" t="s">
        <v>506</v>
      </c>
      <c r="D1" s="189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89" t="s">
        <v>329</v>
      </c>
      <c r="X1" s="189" t="s">
        <v>481</v>
      </c>
      <c r="Y1" s="193" t="s">
        <v>507</v>
      </c>
      <c r="Z1" s="243"/>
      <c r="AA1" s="187" t="s">
        <v>482</v>
      </c>
      <c r="AB1" s="189" t="s">
        <v>375</v>
      </c>
      <c r="AC1" s="189" t="s">
        <v>166</v>
      </c>
    </row>
    <row r="2" spans="1:30" ht="82.5" customHeight="1" x14ac:dyDescent="0.2">
      <c r="A2" s="189"/>
      <c r="B2" s="189"/>
      <c r="C2" s="85" t="s">
        <v>182</v>
      </c>
      <c r="D2" s="85" t="s">
        <v>372</v>
      </c>
      <c r="E2" s="85" t="s">
        <v>183</v>
      </c>
      <c r="F2" s="85" t="s">
        <v>296</v>
      </c>
      <c r="G2" s="85" t="s">
        <v>184</v>
      </c>
      <c r="H2" s="85" t="s">
        <v>185</v>
      </c>
      <c r="I2" s="85" t="s">
        <v>186</v>
      </c>
      <c r="J2" s="85" t="s">
        <v>187</v>
      </c>
      <c r="K2" s="85" t="s">
        <v>188</v>
      </c>
      <c r="L2" s="85" t="s">
        <v>189</v>
      </c>
      <c r="M2" s="85" t="s">
        <v>190</v>
      </c>
      <c r="N2" s="85" t="s">
        <v>373</v>
      </c>
      <c r="O2" s="85" t="s">
        <v>485</v>
      </c>
      <c r="P2" s="85" t="s">
        <v>295</v>
      </c>
      <c r="Q2" s="85" t="s">
        <v>374</v>
      </c>
      <c r="R2" s="85" t="s">
        <v>345</v>
      </c>
      <c r="S2" s="85" t="s">
        <v>344</v>
      </c>
      <c r="T2" s="85" t="s">
        <v>330</v>
      </c>
      <c r="U2" s="85" t="s">
        <v>342</v>
      </c>
      <c r="V2" s="85" t="s">
        <v>343</v>
      </c>
      <c r="W2" s="190"/>
      <c r="X2" s="190"/>
      <c r="Y2" s="244"/>
      <c r="Z2" s="245"/>
      <c r="AA2" s="242"/>
      <c r="AB2" s="241"/>
      <c r="AC2" s="241"/>
    </row>
    <row r="3" spans="1:30" ht="15" customHeight="1" x14ac:dyDescent="0.2">
      <c r="A3" s="189"/>
      <c r="B3" s="189"/>
      <c r="C3" s="162">
        <v>16.21</v>
      </c>
      <c r="D3" s="162">
        <v>4.42</v>
      </c>
      <c r="E3" s="162">
        <v>9.82</v>
      </c>
      <c r="F3" s="163">
        <v>7.38</v>
      </c>
      <c r="G3" s="163">
        <v>4.42</v>
      </c>
      <c r="H3" s="163">
        <v>7.96</v>
      </c>
      <c r="I3" s="163">
        <v>61.88</v>
      </c>
      <c r="J3" s="163">
        <v>44.69</v>
      </c>
      <c r="K3" s="163">
        <v>35.36</v>
      </c>
      <c r="L3" s="163">
        <v>11.79</v>
      </c>
      <c r="M3" s="163">
        <v>29.47</v>
      </c>
      <c r="N3" s="163">
        <v>5.3</v>
      </c>
      <c r="O3" s="163">
        <v>5.3</v>
      </c>
      <c r="P3" s="163">
        <v>9.7200000000000006</v>
      </c>
      <c r="Q3" s="163">
        <v>9.7200000000000006</v>
      </c>
      <c r="R3" s="163">
        <v>11.49</v>
      </c>
      <c r="S3" s="163">
        <v>11.49</v>
      </c>
      <c r="T3" s="163">
        <v>11.49</v>
      </c>
      <c r="U3" s="163">
        <v>11.49</v>
      </c>
      <c r="V3" s="163">
        <v>17.68</v>
      </c>
      <c r="W3" s="190"/>
      <c r="X3" s="190"/>
      <c r="Y3" s="172">
        <v>2023</v>
      </c>
      <c r="Z3" s="172" t="s">
        <v>508</v>
      </c>
      <c r="AA3" s="242"/>
      <c r="AB3" s="241"/>
      <c r="AC3" s="241"/>
    </row>
    <row r="4" spans="1:30" x14ac:dyDescent="0.2">
      <c r="A4" s="20" t="s">
        <v>69</v>
      </c>
      <c r="B4" s="21" t="s">
        <v>138</v>
      </c>
      <c r="C4" s="10">
        <v>2</v>
      </c>
      <c r="D4" s="10">
        <v>45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/>
      <c r="X4" s="10">
        <v>7</v>
      </c>
      <c r="Y4" s="10">
        <f>'Rahvastikutoimingud Ukraina'!K4</f>
        <v>9</v>
      </c>
      <c r="Z4" s="10">
        <f>'Rahvastikutoimingud Ukraina'!N4</f>
        <v>0</v>
      </c>
      <c r="AA4" s="10">
        <f>ROUND(C4*C$3+D4*D$3+E4*E$3+F4*F$3+G4*G$3+H4*H$3+I4*I$3+J4*J$3+K4*K$3+L4*L$3+M4*M$3+N4*N$3+O4*O$3+P4*P$3+Q4*Q$3+R4*R$3+S4*S$3+T4*T$3+U4*U$3+V4*V$3+W4+X4-Y4-Z4,0)</f>
        <v>229</v>
      </c>
      <c r="AB4" s="10">
        <v>299</v>
      </c>
      <c r="AC4" s="10">
        <f>AA4-AB4</f>
        <v>-70</v>
      </c>
      <c r="AD4" s="5"/>
    </row>
    <row r="5" spans="1:30" x14ac:dyDescent="0.2">
      <c r="A5" s="20" t="s">
        <v>69</v>
      </c>
      <c r="B5" s="21" t="s">
        <v>137</v>
      </c>
      <c r="C5" s="10">
        <v>8</v>
      </c>
      <c r="D5" s="10">
        <v>145</v>
      </c>
      <c r="E5" s="10">
        <v>0</v>
      </c>
      <c r="F5" s="10">
        <v>0</v>
      </c>
      <c r="G5" s="10">
        <v>14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/>
      <c r="X5" s="10">
        <v>17</v>
      </c>
      <c r="Y5" s="10">
        <f>'Rahvastikutoimingud Ukraina'!K5</f>
        <v>13</v>
      </c>
      <c r="Z5" s="10">
        <f>'Rahvastikutoimingud Ukraina'!N5</f>
        <v>0</v>
      </c>
      <c r="AA5" s="10">
        <f t="shared" ref="AA5:AA68" si="0">ROUND(C5*C$3+D5*D$3+E5*E$3+F5*F$3+G5*G$3+H5*H$3+I5*I$3+J5*J$3+K5*K$3+L5*L$3+M5*M$3+N5*N$3+O5*O$3+P5*P$3+Q5*Q$3+R5*R$3+S5*S$3+T5*T$3+U5*U$3+V5*V$3+W5+X5-Y5-Z5,0)</f>
        <v>836</v>
      </c>
      <c r="AB5" s="10">
        <v>783</v>
      </c>
      <c r="AC5" s="10">
        <f t="shared" ref="AC5:AC68" si="1">AA5-AB5</f>
        <v>53</v>
      </c>
      <c r="AD5" s="5"/>
    </row>
    <row r="6" spans="1:30" x14ac:dyDescent="0.2">
      <c r="A6" s="20" t="s">
        <v>69</v>
      </c>
      <c r="B6" s="21" t="s">
        <v>136</v>
      </c>
      <c r="C6" s="10">
        <v>1</v>
      </c>
      <c r="D6" s="10">
        <v>51</v>
      </c>
      <c r="E6" s="10">
        <v>0</v>
      </c>
      <c r="F6" s="10">
        <v>0</v>
      </c>
      <c r="G6" s="10">
        <v>1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/>
      <c r="X6" s="10">
        <v>8</v>
      </c>
      <c r="Y6" s="10">
        <f>'Rahvastikutoimingud Ukraina'!K6</f>
        <v>9</v>
      </c>
      <c r="Z6" s="10">
        <f>'Rahvastikutoimingud Ukraina'!N6</f>
        <v>0</v>
      </c>
      <c r="AA6" s="10">
        <f t="shared" si="0"/>
        <v>245</v>
      </c>
      <c r="AB6" s="10">
        <v>348</v>
      </c>
      <c r="AC6" s="10">
        <f t="shared" si="1"/>
        <v>-103</v>
      </c>
      <c r="AD6" s="5"/>
    </row>
    <row r="7" spans="1:30" x14ac:dyDescent="0.2">
      <c r="A7" s="20" t="s">
        <v>69</v>
      </c>
      <c r="B7" s="21" t="s">
        <v>81</v>
      </c>
      <c r="C7" s="10">
        <v>5</v>
      </c>
      <c r="D7" s="10">
        <v>70</v>
      </c>
      <c r="E7" s="10">
        <v>0</v>
      </c>
      <c r="F7" s="10">
        <v>0</v>
      </c>
      <c r="G7" s="10">
        <v>2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/>
      <c r="X7" s="10">
        <v>12</v>
      </c>
      <c r="Y7" s="10">
        <f>'Rahvastikutoimingud Ukraina'!K7</f>
        <v>4</v>
      </c>
      <c r="Z7" s="10">
        <f>'Rahvastikutoimingud Ukraina'!N7</f>
        <v>0</v>
      </c>
      <c r="AA7" s="10">
        <f t="shared" si="0"/>
        <v>407</v>
      </c>
      <c r="AB7" s="10">
        <v>562</v>
      </c>
      <c r="AC7" s="10">
        <f t="shared" si="1"/>
        <v>-155</v>
      </c>
      <c r="AD7" s="5"/>
    </row>
    <row r="8" spans="1:30" x14ac:dyDescent="0.2">
      <c r="A8" s="20" t="s">
        <v>69</v>
      </c>
      <c r="B8" s="21" t="s">
        <v>135</v>
      </c>
      <c r="C8" s="10">
        <v>1</v>
      </c>
      <c r="D8" s="10">
        <v>74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/>
      <c r="X8" s="10">
        <v>7</v>
      </c>
      <c r="Y8" s="10">
        <f>'Rahvastikutoimingud Ukraina'!K8</f>
        <v>4</v>
      </c>
      <c r="Z8" s="10">
        <f>'Rahvastikutoimingud Ukraina'!N8</f>
        <v>0</v>
      </c>
      <c r="AA8" s="10">
        <f t="shared" si="0"/>
        <v>346</v>
      </c>
      <c r="AB8" s="10">
        <v>316</v>
      </c>
      <c r="AC8" s="10">
        <f t="shared" si="1"/>
        <v>30</v>
      </c>
      <c r="AD8" s="5"/>
    </row>
    <row r="9" spans="1:30" x14ac:dyDescent="0.2">
      <c r="A9" s="20" t="s">
        <v>69</v>
      </c>
      <c r="B9" s="22" t="s">
        <v>134</v>
      </c>
      <c r="C9" s="10">
        <v>8</v>
      </c>
      <c r="D9" s="10">
        <v>71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/>
      <c r="X9" s="10">
        <v>11</v>
      </c>
      <c r="Y9" s="10">
        <f>'Rahvastikutoimingud Ukraina'!K9</f>
        <v>49</v>
      </c>
      <c r="Z9" s="10">
        <f>'Rahvastikutoimingud Ukraina'!N9</f>
        <v>0</v>
      </c>
      <c r="AA9" s="10">
        <f t="shared" si="0"/>
        <v>406</v>
      </c>
      <c r="AB9" s="10">
        <v>499</v>
      </c>
      <c r="AC9" s="10">
        <f t="shared" si="1"/>
        <v>-93</v>
      </c>
      <c r="AD9" s="5"/>
    </row>
    <row r="10" spans="1:30" x14ac:dyDescent="0.2">
      <c r="A10" s="20" t="s">
        <v>69</v>
      </c>
      <c r="B10" s="21" t="s">
        <v>133</v>
      </c>
      <c r="C10" s="10">
        <v>4</v>
      </c>
      <c r="D10" s="10">
        <v>47</v>
      </c>
      <c r="E10" s="10">
        <v>0</v>
      </c>
      <c r="F10" s="10">
        <v>0</v>
      </c>
      <c r="G10" s="10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/>
      <c r="X10" s="10">
        <v>6</v>
      </c>
      <c r="Y10" s="10">
        <f>'Rahvastikutoimingud Ukraina'!K10</f>
        <v>9</v>
      </c>
      <c r="Z10" s="10">
        <f>'Rahvastikutoimingud Ukraina'!N10</f>
        <v>0</v>
      </c>
      <c r="AA10" s="10">
        <f t="shared" si="0"/>
        <v>292</v>
      </c>
      <c r="AB10" s="10">
        <v>248</v>
      </c>
      <c r="AC10" s="10">
        <f t="shared" si="1"/>
        <v>44</v>
      </c>
      <c r="AD10" s="5"/>
    </row>
    <row r="11" spans="1:30" x14ac:dyDescent="0.2">
      <c r="A11" s="20" t="s">
        <v>69</v>
      </c>
      <c r="B11" s="21" t="s">
        <v>83</v>
      </c>
      <c r="C11" s="10">
        <v>4</v>
      </c>
      <c r="D11" s="10">
        <v>5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/>
      <c r="X11" s="10">
        <v>2</v>
      </c>
      <c r="Y11" s="10">
        <f>'Rahvastikutoimingud Ukraina'!K11</f>
        <v>37</v>
      </c>
      <c r="Z11" s="10">
        <f>'Rahvastikutoimingud Ukraina'!N11</f>
        <v>0</v>
      </c>
      <c r="AA11" s="10">
        <f t="shared" si="0"/>
        <v>52</v>
      </c>
      <c r="AB11" s="10">
        <v>89</v>
      </c>
      <c r="AC11" s="10">
        <f t="shared" si="1"/>
        <v>-37</v>
      </c>
      <c r="AD11" s="5"/>
    </row>
    <row r="12" spans="1:30" x14ac:dyDescent="0.2">
      <c r="A12" s="20" t="s">
        <v>69</v>
      </c>
      <c r="B12" s="21" t="s">
        <v>231</v>
      </c>
      <c r="C12" s="10">
        <v>17</v>
      </c>
      <c r="D12" s="10">
        <v>99</v>
      </c>
      <c r="E12" s="10">
        <v>0</v>
      </c>
      <c r="F12" s="10">
        <v>0</v>
      </c>
      <c r="G12" s="10">
        <v>5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/>
      <c r="X12" s="10">
        <v>15</v>
      </c>
      <c r="Y12" s="10">
        <f>'Rahvastikutoimingud Ukraina'!K12</f>
        <v>87</v>
      </c>
      <c r="Z12" s="10">
        <f>'Rahvastikutoimingud Ukraina'!N12</f>
        <v>0</v>
      </c>
      <c r="AA12" s="10">
        <f t="shared" si="0"/>
        <v>663</v>
      </c>
      <c r="AB12" s="10">
        <v>664</v>
      </c>
      <c r="AC12" s="10">
        <f t="shared" si="1"/>
        <v>-1</v>
      </c>
      <c r="AD12" s="5"/>
    </row>
    <row r="13" spans="1:30" x14ac:dyDescent="0.2">
      <c r="A13" s="20" t="s">
        <v>69</v>
      </c>
      <c r="B13" s="21" t="s">
        <v>68</v>
      </c>
      <c r="C13" s="10">
        <v>19</v>
      </c>
      <c r="D13" s="10">
        <v>56</v>
      </c>
      <c r="E13" s="10">
        <v>0</v>
      </c>
      <c r="F13" s="10">
        <v>0</v>
      </c>
      <c r="G13" s="10">
        <v>12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/>
      <c r="X13" s="10">
        <v>16</v>
      </c>
      <c r="Y13" s="10">
        <f>'Rahvastikutoimingud Ukraina'!K13</f>
        <v>124</v>
      </c>
      <c r="Z13" s="10">
        <f>'Rahvastikutoimingud Ukraina'!N13</f>
        <v>0</v>
      </c>
      <c r="AA13" s="10">
        <f t="shared" si="0"/>
        <v>501</v>
      </c>
      <c r="AB13" s="10">
        <v>707</v>
      </c>
      <c r="AC13" s="10">
        <f t="shared" si="1"/>
        <v>-206</v>
      </c>
      <c r="AD13" s="5"/>
    </row>
    <row r="14" spans="1:30" x14ac:dyDescent="0.2">
      <c r="A14" s="20" t="s">
        <v>69</v>
      </c>
      <c r="B14" s="21" t="s">
        <v>132</v>
      </c>
      <c r="C14" s="10">
        <v>6</v>
      </c>
      <c r="D14" s="10">
        <v>36</v>
      </c>
      <c r="E14" s="10">
        <v>0</v>
      </c>
      <c r="F14" s="10">
        <v>0</v>
      </c>
      <c r="G14" s="10">
        <v>1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/>
      <c r="X14" s="10">
        <v>8</v>
      </c>
      <c r="Y14" s="10">
        <f>'Rahvastikutoimingud Ukraina'!K14</f>
        <v>0</v>
      </c>
      <c r="Z14" s="10">
        <f>'Rahvastikutoimingud Ukraina'!N14</f>
        <v>0</v>
      </c>
      <c r="AA14" s="10">
        <f t="shared" si="0"/>
        <v>269</v>
      </c>
      <c r="AB14" s="10">
        <v>373</v>
      </c>
      <c r="AC14" s="10">
        <f t="shared" si="1"/>
        <v>-104</v>
      </c>
      <c r="AD14" s="5"/>
    </row>
    <row r="15" spans="1:30" x14ac:dyDescent="0.2">
      <c r="A15" s="20" t="s">
        <v>69</v>
      </c>
      <c r="B15" s="21" t="s">
        <v>131</v>
      </c>
      <c r="C15" s="10">
        <v>8</v>
      </c>
      <c r="D15" s="10">
        <v>287</v>
      </c>
      <c r="E15" s="10">
        <v>0</v>
      </c>
      <c r="F15" s="10">
        <v>0</v>
      </c>
      <c r="G15" s="10">
        <v>12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/>
      <c r="X15" s="10">
        <v>37</v>
      </c>
      <c r="Y15" s="10">
        <f>'Rahvastikutoimingud Ukraina'!K15</f>
        <v>47</v>
      </c>
      <c r="Z15" s="10">
        <f>'Rahvastikutoimingud Ukraina'!N15</f>
        <v>0</v>
      </c>
      <c r="AA15" s="10">
        <f t="shared" si="0"/>
        <v>1441</v>
      </c>
      <c r="AB15" s="10">
        <v>1671</v>
      </c>
      <c r="AC15" s="10">
        <f t="shared" si="1"/>
        <v>-230</v>
      </c>
      <c r="AD15" s="5"/>
    </row>
    <row r="16" spans="1:30" x14ac:dyDescent="0.2">
      <c r="A16" s="20" t="s">
        <v>69</v>
      </c>
      <c r="B16" s="21" t="s">
        <v>130</v>
      </c>
      <c r="C16" s="10">
        <v>4</v>
      </c>
      <c r="D16" s="10">
        <v>122</v>
      </c>
      <c r="E16" s="10">
        <v>0</v>
      </c>
      <c r="F16" s="10">
        <v>0</v>
      </c>
      <c r="G16" s="10">
        <v>4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/>
      <c r="X16" s="10">
        <v>12</v>
      </c>
      <c r="Y16" s="10">
        <f>'Rahvastikutoimingud Ukraina'!K16</f>
        <v>4</v>
      </c>
      <c r="Z16" s="10">
        <f>'Rahvastikutoimingud Ukraina'!N16</f>
        <v>0</v>
      </c>
      <c r="AA16" s="10">
        <f t="shared" si="0"/>
        <v>630</v>
      </c>
      <c r="AB16" s="10">
        <v>538</v>
      </c>
      <c r="AC16" s="10">
        <f t="shared" si="1"/>
        <v>92</v>
      </c>
      <c r="AD16" s="5"/>
    </row>
    <row r="17" spans="1:30" x14ac:dyDescent="0.2">
      <c r="A17" s="20" t="s">
        <v>69</v>
      </c>
      <c r="B17" s="21" t="s">
        <v>129</v>
      </c>
      <c r="C17" s="10">
        <v>9</v>
      </c>
      <c r="D17" s="10">
        <v>222</v>
      </c>
      <c r="E17" s="10">
        <v>0</v>
      </c>
      <c r="F17" s="10">
        <v>0</v>
      </c>
      <c r="G17" s="10">
        <v>7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/>
      <c r="X17" s="10">
        <v>31</v>
      </c>
      <c r="Y17" s="10">
        <f>'Rahvastikutoimingud Ukraina'!K17</f>
        <v>34</v>
      </c>
      <c r="Z17" s="10">
        <f>'Rahvastikutoimingud Ukraina'!N17</f>
        <v>0</v>
      </c>
      <c r="AA17" s="10">
        <f t="shared" si="0"/>
        <v>1155</v>
      </c>
      <c r="AB17" s="10">
        <v>1417</v>
      </c>
      <c r="AC17" s="10">
        <f t="shared" si="1"/>
        <v>-262</v>
      </c>
      <c r="AD17" s="5"/>
    </row>
    <row r="18" spans="1:30" x14ac:dyDescent="0.2">
      <c r="A18" s="20" t="s">
        <v>69</v>
      </c>
      <c r="B18" s="58" t="s">
        <v>213</v>
      </c>
      <c r="C18" s="10">
        <v>766</v>
      </c>
      <c r="D18" s="10">
        <v>2843</v>
      </c>
      <c r="E18" s="10">
        <v>18</v>
      </c>
      <c r="F18" s="10">
        <v>1507</v>
      </c>
      <c r="G18" s="10">
        <v>1623</v>
      </c>
      <c r="H18" s="10">
        <v>52</v>
      </c>
      <c r="I18" s="10">
        <v>2384</v>
      </c>
      <c r="J18" s="10">
        <v>1018</v>
      </c>
      <c r="K18" s="10">
        <v>1588</v>
      </c>
      <c r="L18" s="10">
        <v>11</v>
      </c>
      <c r="M18" s="10">
        <v>118</v>
      </c>
      <c r="N18" s="10">
        <v>4113</v>
      </c>
      <c r="O18" s="10">
        <v>4580</v>
      </c>
      <c r="P18" s="10">
        <v>4449</v>
      </c>
      <c r="Q18" s="10">
        <v>1561</v>
      </c>
      <c r="R18" s="10">
        <v>1481</v>
      </c>
      <c r="S18" s="10">
        <v>4</v>
      </c>
      <c r="T18" s="10">
        <v>2205</v>
      </c>
      <c r="U18" s="10">
        <v>6321</v>
      </c>
      <c r="V18" s="10">
        <v>194</v>
      </c>
      <c r="W18" s="10">
        <v>6000</v>
      </c>
      <c r="X18" s="10">
        <v>13392</v>
      </c>
      <c r="Y18" s="10">
        <f>'Rahvastikutoimingud Ukraina'!K18</f>
        <v>62498</v>
      </c>
      <c r="Z18" s="10">
        <f>'Rahvastikutoimingud Ukraina'!N18</f>
        <v>7075</v>
      </c>
      <c r="AA18" s="10">
        <f t="shared" si="0"/>
        <v>469410</v>
      </c>
      <c r="AB18" s="10">
        <v>602647</v>
      </c>
      <c r="AC18" s="10">
        <f t="shared" si="1"/>
        <v>-133237</v>
      </c>
      <c r="AD18" s="5"/>
    </row>
    <row r="19" spans="1:30" x14ac:dyDescent="0.2">
      <c r="A19" s="20" t="s">
        <v>69</v>
      </c>
      <c r="B19" s="21" t="s">
        <v>128</v>
      </c>
      <c r="C19" s="10">
        <v>7</v>
      </c>
      <c r="D19" s="10">
        <v>169</v>
      </c>
      <c r="E19" s="10">
        <v>0</v>
      </c>
      <c r="F19" s="10">
        <v>0</v>
      </c>
      <c r="G19" s="10">
        <v>8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/>
      <c r="X19" s="10">
        <v>24</v>
      </c>
      <c r="Y19" s="10">
        <f>'Rahvastikutoimingud Ukraina'!K19</f>
        <v>46</v>
      </c>
      <c r="Z19" s="10">
        <f>'Rahvastikutoimingud Ukraina'!N19</f>
        <v>0</v>
      </c>
      <c r="AA19" s="10">
        <f t="shared" si="0"/>
        <v>874</v>
      </c>
      <c r="AB19" s="10">
        <v>1086</v>
      </c>
      <c r="AC19" s="10">
        <f t="shared" si="1"/>
        <v>-212</v>
      </c>
      <c r="AD19" s="5"/>
    </row>
    <row r="20" spans="1:30" x14ac:dyDescent="0.2">
      <c r="A20" s="20" t="s">
        <v>67</v>
      </c>
      <c r="B20" s="58" t="s">
        <v>217</v>
      </c>
      <c r="C20" s="10">
        <v>6</v>
      </c>
      <c r="D20" s="10">
        <v>56</v>
      </c>
      <c r="E20" s="10">
        <v>0</v>
      </c>
      <c r="F20" s="10">
        <v>5</v>
      </c>
      <c r="G20" s="10">
        <v>1</v>
      </c>
      <c r="H20" s="10">
        <v>0</v>
      </c>
      <c r="I20" s="10">
        <v>28</v>
      </c>
      <c r="J20" s="10">
        <v>6</v>
      </c>
      <c r="K20" s="10">
        <v>0</v>
      </c>
      <c r="L20" s="10">
        <v>0</v>
      </c>
      <c r="M20" s="10">
        <v>1</v>
      </c>
      <c r="N20" s="10">
        <v>28</v>
      </c>
      <c r="O20" s="10">
        <v>54</v>
      </c>
      <c r="P20" s="10">
        <v>23</v>
      </c>
      <c r="Q20" s="10">
        <v>8</v>
      </c>
      <c r="R20" s="10">
        <v>24</v>
      </c>
      <c r="S20" s="10">
        <v>0</v>
      </c>
      <c r="T20" s="10">
        <v>10</v>
      </c>
      <c r="U20" s="10">
        <v>13</v>
      </c>
      <c r="V20" s="10">
        <v>41</v>
      </c>
      <c r="W20" s="10">
        <v>800</v>
      </c>
      <c r="X20" s="10">
        <v>134</v>
      </c>
      <c r="Y20" s="10">
        <f>'Rahvastikutoimingud Ukraina'!K20</f>
        <v>41</v>
      </c>
      <c r="Z20" s="10">
        <f>'Rahvastikutoimingud Ukraina'!N20</f>
        <v>30</v>
      </c>
      <c r="AA20" s="10">
        <f t="shared" si="0"/>
        <v>5280</v>
      </c>
      <c r="AB20" s="10">
        <v>6017</v>
      </c>
      <c r="AC20" s="10">
        <f t="shared" si="1"/>
        <v>-737</v>
      </c>
      <c r="AD20" s="5"/>
    </row>
    <row r="21" spans="1:30" x14ac:dyDescent="0.2">
      <c r="A21" s="20" t="s">
        <v>58</v>
      </c>
      <c r="B21" s="21" t="s">
        <v>218</v>
      </c>
      <c r="C21" s="10">
        <v>3</v>
      </c>
      <c r="D21" s="10">
        <v>19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/>
      <c r="X21" s="10">
        <v>2</v>
      </c>
      <c r="Y21" s="10">
        <f>'Rahvastikutoimingud Ukraina'!K21</f>
        <v>0</v>
      </c>
      <c r="Z21" s="10">
        <f>'Rahvastikutoimingud Ukraina'!N21</f>
        <v>0</v>
      </c>
      <c r="AA21" s="10">
        <f t="shared" si="0"/>
        <v>135</v>
      </c>
      <c r="AB21" s="10">
        <v>87</v>
      </c>
      <c r="AC21" s="10">
        <f t="shared" si="1"/>
        <v>48</v>
      </c>
      <c r="AD21" s="5"/>
    </row>
    <row r="22" spans="1:30" x14ac:dyDescent="0.2">
      <c r="A22" s="20" t="s">
        <v>58</v>
      </c>
      <c r="B22" s="58" t="s">
        <v>127</v>
      </c>
      <c r="C22" s="10">
        <v>57</v>
      </c>
      <c r="D22" s="10">
        <v>76</v>
      </c>
      <c r="E22" s="10">
        <v>1</v>
      </c>
      <c r="F22" s="10">
        <v>116</v>
      </c>
      <c r="G22" s="10">
        <v>15</v>
      </c>
      <c r="H22" s="10">
        <v>11</v>
      </c>
      <c r="I22" s="10">
        <v>246</v>
      </c>
      <c r="J22" s="10">
        <v>117</v>
      </c>
      <c r="K22" s="10">
        <v>211</v>
      </c>
      <c r="L22" s="10">
        <v>0</v>
      </c>
      <c r="M22" s="10">
        <v>0</v>
      </c>
      <c r="N22" s="10">
        <v>187</v>
      </c>
      <c r="O22" s="10">
        <v>92</v>
      </c>
      <c r="P22" s="10">
        <v>437</v>
      </c>
      <c r="Q22" s="10">
        <v>272</v>
      </c>
      <c r="R22" s="10">
        <v>258</v>
      </c>
      <c r="S22" s="10">
        <v>0</v>
      </c>
      <c r="T22" s="10">
        <v>122</v>
      </c>
      <c r="U22" s="10">
        <v>746</v>
      </c>
      <c r="V22" s="10">
        <v>29</v>
      </c>
      <c r="W22" s="10">
        <v>800</v>
      </c>
      <c r="X22" s="10">
        <v>1671</v>
      </c>
      <c r="Y22" s="10">
        <f>'Rahvastikutoimingud Ukraina'!K22</f>
        <v>6761</v>
      </c>
      <c r="Z22" s="10">
        <f>'Rahvastikutoimingud Ukraina'!N22</f>
        <v>1671</v>
      </c>
      <c r="AA22" s="10">
        <f t="shared" si="0"/>
        <v>46051</v>
      </c>
      <c r="AB22" s="10">
        <v>75193</v>
      </c>
      <c r="AC22" s="10">
        <f t="shared" si="1"/>
        <v>-29142</v>
      </c>
      <c r="AD22" s="5"/>
    </row>
    <row r="23" spans="1:30" x14ac:dyDescent="0.2">
      <c r="A23" s="20" t="s">
        <v>58</v>
      </c>
      <c r="B23" s="21" t="s">
        <v>57</v>
      </c>
      <c r="C23" s="10">
        <v>11</v>
      </c>
      <c r="D23" s="10">
        <v>124</v>
      </c>
      <c r="E23" s="10">
        <v>0</v>
      </c>
      <c r="F23" s="10">
        <v>0</v>
      </c>
      <c r="G23" s="10">
        <v>22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/>
      <c r="X23" s="10">
        <v>19</v>
      </c>
      <c r="Y23" s="10">
        <f>'Rahvastikutoimingud Ukraina'!K23</f>
        <v>128</v>
      </c>
      <c r="Z23" s="10">
        <f>'Rahvastikutoimingud Ukraina'!N23</f>
        <v>0</v>
      </c>
      <c r="AA23" s="10">
        <f t="shared" si="0"/>
        <v>715</v>
      </c>
      <c r="AB23" s="10">
        <v>850</v>
      </c>
      <c r="AC23" s="10">
        <f t="shared" si="1"/>
        <v>-135</v>
      </c>
      <c r="AD23" s="5"/>
    </row>
    <row r="24" spans="1:30" x14ac:dyDescent="0.2">
      <c r="A24" s="20" t="s">
        <v>58</v>
      </c>
      <c r="B24" s="21" t="s">
        <v>126</v>
      </c>
      <c r="C24" s="10">
        <v>8</v>
      </c>
      <c r="D24" s="10">
        <v>27</v>
      </c>
      <c r="E24" s="10">
        <v>0</v>
      </c>
      <c r="F24" s="10">
        <v>0</v>
      </c>
      <c r="G24" s="10">
        <v>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/>
      <c r="X24" s="10">
        <v>7</v>
      </c>
      <c r="Y24" s="10">
        <f>'Rahvastikutoimingud Ukraina'!K24</f>
        <v>25</v>
      </c>
      <c r="Z24" s="10">
        <f>'Rahvastikutoimingud Ukraina'!N24</f>
        <v>0</v>
      </c>
      <c r="AA24" s="10">
        <f t="shared" si="0"/>
        <v>240</v>
      </c>
      <c r="AB24" s="10">
        <v>304</v>
      </c>
      <c r="AC24" s="10">
        <f t="shared" si="1"/>
        <v>-64</v>
      </c>
      <c r="AD24" s="5"/>
    </row>
    <row r="25" spans="1:30" x14ac:dyDescent="0.2">
      <c r="A25" s="20" t="s">
        <v>58</v>
      </c>
      <c r="B25" s="58" t="s">
        <v>59</v>
      </c>
      <c r="C25" s="10">
        <v>91</v>
      </c>
      <c r="D25" s="10">
        <v>182</v>
      </c>
      <c r="E25" s="10">
        <v>0</v>
      </c>
      <c r="F25" s="10">
        <v>65</v>
      </c>
      <c r="G25" s="10">
        <v>41</v>
      </c>
      <c r="H25" s="10">
        <v>17</v>
      </c>
      <c r="I25" s="10">
        <v>282</v>
      </c>
      <c r="J25" s="10">
        <v>127</v>
      </c>
      <c r="K25" s="10">
        <v>0</v>
      </c>
      <c r="L25" s="10">
        <v>0</v>
      </c>
      <c r="M25" s="10">
        <v>0</v>
      </c>
      <c r="N25" s="10">
        <v>214</v>
      </c>
      <c r="O25" s="10">
        <v>532</v>
      </c>
      <c r="P25" s="10">
        <v>644</v>
      </c>
      <c r="Q25" s="10">
        <v>465</v>
      </c>
      <c r="R25" s="10">
        <v>258</v>
      </c>
      <c r="S25" s="10">
        <v>0</v>
      </c>
      <c r="T25" s="10">
        <v>270</v>
      </c>
      <c r="U25" s="10">
        <v>2884</v>
      </c>
      <c r="V25" s="10">
        <v>68</v>
      </c>
      <c r="W25" s="10">
        <v>800</v>
      </c>
      <c r="X25" s="10">
        <v>2401</v>
      </c>
      <c r="Y25" s="10">
        <f>'Rahvastikutoimingud Ukraina'!K25</f>
        <v>16936</v>
      </c>
      <c r="Z25" s="10">
        <f>'Rahvastikutoimingud Ukraina'!N25</f>
        <v>540</v>
      </c>
      <c r="AA25" s="10">
        <f t="shared" si="0"/>
        <v>67066</v>
      </c>
      <c r="AB25" s="10">
        <v>108062</v>
      </c>
      <c r="AC25" s="10">
        <f t="shared" si="1"/>
        <v>-40996</v>
      </c>
      <c r="AD25" s="5"/>
    </row>
    <row r="26" spans="1:30" x14ac:dyDescent="0.2">
      <c r="A26" s="20" t="s">
        <v>58</v>
      </c>
      <c r="B26" s="21" t="s">
        <v>62</v>
      </c>
      <c r="C26" s="10">
        <v>4</v>
      </c>
      <c r="D26" s="10">
        <v>13</v>
      </c>
      <c r="E26" s="10">
        <v>0</v>
      </c>
      <c r="F26" s="10">
        <v>0</v>
      </c>
      <c r="G26" s="10">
        <v>15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/>
      <c r="X26" s="10">
        <v>3</v>
      </c>
      <c r="Y26" s="10">
        <f>'Rahvastikutoimingud Ukraina'!K26</f>
        <v>16</v>
      </c>
      <c r="Z26" s="10">
        <f>'Rahvastikutoimingud Ukraina'!N26</f>
        <v>0</v>
      </c>
      <c r="AA26" s="10">
        <f t="shared" si="0"/>
        <v>176</v>
      </c>
      <c r="AB26" s="10">
        <v>137</v>
      </c>
      <c r="AC26" s="10">
        <f t="shared" si="1"/>
        <v>39</v>
      </c>
      <c r="AD26" s="5"/>
    </row>
    <row r="27" spans="1:30" x14ac:dyDescent="0.2">
      <c r="A27" s="20" t="s">
        <v>58</v>
      </c>
      <c r="B27" s="21" t="s">
        <v>61</v>
      </c>
      <c r="C27" s="10">
        <v>12</v>
      </c>
      <c r="D27" s="10">
        <v>36</v>
      </c>
      <c r="E27" s="10">
        <v>0</v>
      </c>
      <c r="F27" s="10">
        <v>0</v>
      </c>
      <c r="G27" s="10">
        <v>13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/>
      <c r="X27" s="10">
        <v>11</v>
      </c>
      <c r="Y27" s="10">
        <f>'Rahvastikutoimingud Ukraina'!K27</f>
        <v>16</v>
      </c>
      <c r="Z27" s="10">
        <f>'Rahvastikutoimingud Ukraina'!N27</f>
        <v>0</v>
      </c>
      <c r="AA27" s="10">
        <f t="shared" si="0"/>
        <v>406</v>
      </c>
      <c r="AB27" s="10">
        <v>485</v>
      </c>
      <c r="AC27" s="10">
        <f t="shared" si="1"/>
        <v>-79</v>
      </c>
      <c r="AD27" s="5"/>
    </row>
    <row r="28" spans="1:30" x14ac:dyDescent="0.2">
      <c r="A28" s="20" t="s">
        <v>58</v>
      </c>
      <c r="B28" s="21" t="s">
        <v>64</v>
      </c>
      <c r="C28" s="10">
        <v>0</v>
      </c>
      <c r="D28" s="10">
        <v>22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/>
      <c r="X28" s="10">
        <v>2</v>
      </c>
      <c r="Y28" s="10">
        <f>'Rahvastikutoimingud Ukraina'!K28</f>
        <v>0</v>
      </c>
      <c r="Z28" s="10">
        <f>'Rahvastikutoimingud Ukraina'!N28</f>
        <v>0</v>
      </c>
      <c r="AA28" s="10">
        <f t="shared" si="0"/>
        <v>99</v>
      </c>
      <c r="AB28" s="10">
        <v>101</v>
      </c>
      <c r="AC28" s="10">
        <f t="shared" si="1"/>
        <v>-2</v>
      </c>
      <c r="AD28" s="5"/>
    </row>
    <row r="29" spans="1:30" x14ac:dyDescent="0.2">
      <c r="A29" s="20" t="s">
        <v>55</v>
      </c>
      <c r="B29" s="58" t="s">
        <v>125</v>
      </c>
      <c r="C29" s="10">
        <v>29</v>
      </c>
      <c r="D29" s="10">
        <v>78</v>
      </c>
      <c r="E29" s="10">
        <v>0</v>
      </c>
      <c r="F29" s="10">
        <v>38</v>
      </c>
      <c r="G29" s="10">
        <v>6</v>
      </c>
      <c r="H29" s="10">
        <v>2</v>
      </c>
      <c r="I29" s="10">
        <v>49</v>
      </c>
      <c r="J29" s="10">
        <v>18</v>
      </c>
      <c r="K29" s="10">
        <v>0</v>
      </c>
      <c r="L29" s="10">
        <v>1</v>
      </c>
      <c r="M29" s="10">
        <v>2</v>
      </c>
      <c r="N29" s="10">
        <v>86</v>
      </c>
      <c r="O29" s="10">
        <v>88</v>
      </c>
      <c r="P29" s="10">
        <v>35</v>
      </c>
      <c r="Q29" s="10">
        <v>31</v>
      </c>
      <c r="R29" s="10">
        <v>115</v>
      </c>
      <c r="S29" s="10">
        <v>0</v>
      </c>
      <c r="T29" s="10">
        <v>42</v>
      </c>
      <c r="U29" s="10">
        <v>246</v>
      </c>
      <c r="V29" s="10">
        <v>41</v>
      </c>
      <c r="W29" s="10">
        <v>800</v>
      </c>
      <c r="X29" s="10">
        <v>383</v>
      </c>
      <c r="Y29" s="10">
        <f>'Rahvastikutoimingud Ukraina'!K29</f>
        <v>700</v>
      </c>
      <c r="Z29" s="10">
        <f>'Rahvastikutoimingud Ukraina'!N29</f>
        <v>107</v>
      </c>
      <c r="AA29" s="10">
        <f t="shared" si="0"/>
        <v>12340</v>
      </c>
      <c r="AB29" s="10">
        <v>17226</v>
      </c>
      <c r="AC29" s="10">
        <f t="shared" si="1"/>
        <v>-4886</v>
      </c>
      <c r="AD29" s="5"/>
    </row>
    <row r="30" spans="1:30" x14ac:dyDescent="0.2">
      <c r="A30" s="20" t="s">
        <v>55</v>
      </c>
      <c r="B30" s="21" t="s">
        <v>219</v>
      </c>
      <c r="C30" s="10">
        <v>5</v>
      </c>
      <c r="D30" s="10">
        <v>18</v>
      </c>
      <c r="E30" s="10">
        <v>0</v>
      </c>
      <c r="F30" s="10">
        <v>0</v>
      </c>
      <c r="G30" s="10">
        <v>2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/>
      <c r="X30" s="10">
        <v>5</v>
      </c>
      <c r="Y30" s="10">
        <f>'Rahvastikutoimingud Ukraina'!K30</f>
        <v>0</v>
      </c>
      <c r="Z30" s="10">
        <f>'Rahvastikutoimingud Ukraina'!N30</f>
        <v>0</v>
      </c>
      <c r="AA30" s="10">
        <f t="shared" si="0"/>
        <v>174</v>
      </c>
      <c r="AB30" s="10">
        <v>245</v>
      </c>
      <c r="AC30" s="10">
        <f t="shared" si="1"/>
        <v>-71</v>
      </c>
      <c r="AD30" s="5"/>
    </row>
    <row r="31" spans="1:30" x14ac:dyDescent="0.2">
      <c r="A31" s="20" t="s">
        <v>55</v>
      </c>
      <c r="B31" s="21" t="s">
        <v>124</v>
      </c>
      <c r="C31" s="10">
        <v>13</v>
      </c>
      <c r="D31" s="10">
        <v>71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/>
      <c r="X31" s="10">
        <v>9</v>
      </c>
      <c r="Y31" s="10">
        <f>'Rahvastikutoimingud Ukraina'!K31</f>
        <v>21</v>
      </c>
      <c r="Z31" s="10">
        <f>'Rahvastikutoimingud Ukraina'!N31</f>
        <v>0</v>
      </c>
      <c r="AA31" s="10">
        <f t="shared" si="0"/>
        <v>521</v>
      </c>
      <c r="AB31" s="10">
        <v>393</v>
      </c>
      <c r="AC31" s="10">
        <f t="shared" si="1"/>
        <v>128</v>
      </c>
      <c r="AD31" s="5"/>
    </row>
    <row r="32" spans="1:30" x14ac:dyDescent="0.2">
      <c r="A32" s="20" t="s">
        <v>52</v>
      </c>
      <c r="B32" s="21" t="s">
        <v>220</v>
      </c>
      <c r="C32" s="10">
        <v>13</v>
      </c>
      <c r="D32" s="10">
        <v>77</v>
      </c>
      <c r="E32" s="10">
        <v>0</v>
      </c>
      <c r="F32" s="10">
        <v>0</v>
      </c>
      <c r="G32" s="10">
        <v>2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/>
      <c r="X32" s="10">
        <v>14</v>
      </c>
      <c r="Y32" s="10">
        <f>'Rahvastikutoimingud Ukraina'!K32</f>
        <v>4</v>
      </c>
      <c r="Z32" s="10">
        <f>'Rahvastikutoimingud Ukraina'!N32</f>
        <v>0</v>
      </c>
      <c r="AA32" s="10">
        <f t="shared" si="0"/>
        <v>570</v>
      </c>
      <c r="AB32" s="10">
        <v>651</v>
      </c>
      <c r="AC32" s="10">
        <f t="shared" si="1"/>
        <v>-81</v>
      </c>
      <c r="AD32" s="5"/>
    </row>
    <row r="33" spans="1:30" x14ac:dyDescent="0.2">
      <c r="A33" s="20" t="s">
        <v>52</v>
      </c>
      <c r="B33" s="58" t="s">
        <v>51</v>
      </c>
      <c r="C33" s="10">
        <v>13</v>
      </c>
      <c r="D33" s="10">
        <v>74</v>
      </c>
      <c r="E33" s="10">
        <v>0</v>
      </c>
      <c r="F33" s="10">
        <v>52</v>
      </c>
      <c r="G33" s="10">
        <v>8</v>
      </c>
      <c r="H33" s="10">
        <v>1</v>
      </c>
      <c r="I33" s="10">
        <v>83</v>
      </c>
      <c r="J33" s="10">
        <v>31</v>
      </c>
      <c r="K33" s="10">
        <v>0</v>
      </c>
      <c r="L33" s="10">
        <v>0</v>
      </c>
      <c r="M33" s="10">
        <v>0</v>
      </c>
      <c r="N33" s="10">
        <v>95</v>
      </c>
      <c r="O33" s="10">
        <v>111</v>
      </c>
      <c r="P33" s="10">
        <v>33</v>
      </c>
      <c r="Q33" s="10">
        <v>31</v>
      </c>
      <c r="R33" s="10">
        <v>116</v>
      </c>
      <c r="S33" s="10">
        <v>0</v>
      </c>
      <c r="T33" s="10">
        <v>30</v>
      </c>
      <c r="U33" s="10">
        <v>89</v>
      </c>
      <c r="V33" s="10">
        <v>33</v>
      </c>
      <c r="W33" s="10">
        <v>800</v>
      </c>
      <c r="X33" s="10">
        <v>311</v>
      </c>
      <c r="Y33" s="10">
        <f>'Rahvastikutoimingud Ukraina'!K33</f>
        <v>1506</v>
      </c>
      <c r="Z33" s="10">
        <f>'Rahvastikutoimingud Ukraina'!N33</f>
        <v>103</v>
      </c>
      <c r="AA33" s="10">
        <f t="shared" si="0"/>
        <v>11986</v>
      </c>
      <c r="AB33" s="10">
        <v>14002</v>
      </c>
      <c r="AC33" s="10">
        <f t="shared" si="1"/>
        <v>-2016</v>
      </c>
      <c r="AD33" s="5"/>
    </row>
    <row r="34" spans="1:30" x14ac:dyDescent="0.2">
      <c r="A34" s="20" t="s">
        <v>52</v>
      </c>
      <c r="B34" s="21" t="s">
        <v>123</v>
      </c>
      <c r="C34" s="10">
        <v>20</v>
      </c>
      <c r="D34" s="10">
        <v>78</v>
      </c>
      <c r="E34" s="10">
        <v>0</v>
      </c>
      <c r="F34" s="10">
        <v>0</v>
      </c>
      <c r="G34" s="10">
        <v>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/>
      <c r="X34" s="10">
        <v>16</v>
      </c>
      <c r="Y34" s="10">
        <f>'Rahvastikutoimingud Ukraina'!K34</f>
        <v>0</v>
      </c>
      <c r="Z34" s="10">
        <f>'Rahvastikutoimingud Ukraina'!N34</f>
        <v>0</v>
      </c>
      <c r="AA34" s="10">
        <f t="shared" si="0"/>
        <v>694</v>
      </c>
      <c r="AB34" s="10">
        <v>714</v>
      </c>
      <c r="AC34" s="10">
        <f t="shared" si="1"/>
        <v>-20</v>
      </c>
      <c r="AD34" s="5"/>
    </row>
    <row r="35" spans="1:30" x14ac:dyDescent="0.2">
      <c r="A35" s="20" t="s">
        <v>47</v>
      </c>
      <c r="B35" s="58" t="s">
        <v>48</v>
      </c>
      <c r="C35" s="10">
        <v>12</v>
      </c>
      <c r="D35" s="10">
        <v>77</v>
      </c>
      <c r="E35" s="10">
        <v>0</v>
      </c>
      <c r="F35" s="10">
        <v>19</v>
      </c>
      <c r="G35" s="10">
        <v>10</v>
      </c>
      <c r="H35" s="10">
        <v>0</v>
      </c>
      <c r="I35" s="10">
        <v>124</v>
      </c>
      <c r="J35" s="10">
        <v>27</v>
      </c>
      <c r="K35" s="10">
        <v>0</v>
      </c>
      <c r="L35" s="10">
        <v>0</v>
      </c>
      <c r="M35" s="10">
        <v>3</v>
      </c>
      <c r="N35" s="10">
        <v>79</v>
      </c>
      <c r="O35" s="10">
        <v>86</v>
      </c>
      <c r="P35" s="10">
        <v>39</v>
      </c>
      <c r="Q35" s="10">
        <v>65</v>
      </c>
      <c r="R35" s="10">
        <v>53</v>
      </c>
      <c r="S35" s="10">
        <v>0</v>
      </c>
      <c r="T35" s="10">
        <v>38</v>
      </c>
      <c r="U35" s="10">
        <v>1249</v>
      </c>
      <c r="V35" s="10">
        <v>44</v>
      </c>
      <c r="W35" s="10">
        <v>800</v>
      </c>
      <c r="X35" s="10">
        <v>741</v>
      </c>
      <c r="Y35" s="10">
        <f>'Rahvastikutoimingud Ukraina'!K35</f>
        <v>12277</v>
      </c>
      <c r="Z35" s="10">
        <f>'Rahvastikutoimingud Ukraina'!N35</f>
        <v>741</v>
      </c>
      <c r="AA35" s="10">
        <f t="shared" si="0"/>
        <v>16270</v>
      </c>
      <c r="AB35" s="10">
        <v>33330</v>
      </c>
      <c r="AC35" s="10">
        <f t="shared" si="1"/>
        <v>-17060</v>
      </c>
      <c r="AD35" s="5"/>
    </row>
    <row r="36" spans="1:30" x14ac:dyDescent="0.2">
      <c r="A36" s="20" t="s">
        <v>47</v>
      </c>
      <c r="B36" s="21" t="s">
        <v>122</v>
      </c>
      <c r="C36" s="10">
        <v>8</v>
      </c>
      <c r="D36" s="10">
        <v>63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/>
      <c r="X36" s="10">
        <v>8</v>
      </c>
      <c r="Y36" s="10">
        <f>'Rahvastikutoimingud Ukraina'!K36</f>
        <v>0</v>
      </c>
      <c r="Z36" s="10">
        <f>'Rahvastikutoimingud Ukraina'!N36</f>
        <v>0</v>
      </c>
      <c r="AA36" s="10">
        <f t="shared" si="0"/>
        <v>416</v>
      </c>
      <c r="AB36" s="10">
        <v>382</v>
      </c>
      <c r="AC36" s="10">
        <f t="shared" si="1"/>
        <v>34</v>
      </c>
      <c r="AD36" s="5"/>
    </row>
    <row r="37" spans="1:30" x14ac:dyDescent="0.2">
      <c r="A37" s="20" t="s">
        <v>47</v>
      </c>
      <c r="B37" s="21" t="s">
        <v>121</v>
      </c>
      <c r="C37" s="10">
        <v>0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/>
      <c r="X37" s="10">
        <v>0</v>
      </c>
      <c r="Y37" s="10">
        <f>'Rahvastikutoimingud Ukraina'!K37</f>
        <v>0</v>
      </c>
      <c r="Z37" s="10">
        <f>'Rahvastikutoimingud Ukraina'!N37</f>
        <v>0</v>
      </c>
      <c r="AA37" s="10">
        <f t="shared" si="0"/>
        <v>4</v>
      </c>
      <c r="AB37" s="10">
        <v>4</v>
      </c>
      <c r="AC37" s="10">
        <f t="shared" si="1"/>
        <v>0</v>
      </c>
      <c r="AD37" s="5"/>
    </row>
    <row r="38" spans="1:30" x14ac:dyDescent="0.2">
      <c r="A38" s="20" t="s">
        <v>38</v>
      </c>
      <c r="B38" s="21" t="s">
        <v>120</v>
      </c>
      <c r="C38" s="10">
        <v>5</v>
      </c>
      <c r="D38" s="10">
        <v>18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/>
      <c r="X38" s="10">
        <v>3</v>
      </c>
      <c r="Y38" s="10">
        <f>'Rahvastikutoimingud Ukraina'!K38</f>
        <v>0</v>
      </c>
      <c r="Z38" s="10">
        <f>'Rahvastikutoimingud Ukraina'!N38</f>
        <v>0</v>
      </c>
      <c r="AA38" s="10">
        <f t="shared" si="0"/>
        <v>164</v>
      </c>
      <c r="AB38" s="10">
        <v>131</v>
      </c>
      <c r="AC38" s="10">
        <f t="shared" si="1"/>
        <v>33</v>
      </c>
      <c r="AD38" s="5"/>
    </row>
    <row r="39" spans="1:30" x14ac:dyDescent="0.2">
      <c r="A39" s="20" t="s">
        <v>38</v>
      </c>
      <c r="B39" s="21" t="s">
        <v>119</v>
      </c>
      <c r="C39" s="10">
        <v>2</v>
      </c>
      <c r="D39" s="10">
        <v>31</v>
      </c>
      <c r="E39" s="10">
        <v>0</v>
      </c>
      <c r="F39" s="10">
        <v>0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/>
      <c r="X39" s="10">
        <v>7</v>
      </c>
      <c r="Y39" s="10">
        <f>'Rahvastikutoimingud Ukraina'!K39</f>
        <v>0</v>
      </c>
      <c r="Z39" s="10">
        <f>'Rahvastikutoimingud Ukraina'!N39</f>
        <v>0</v>
      </c>
      <c r="AA39" s="10">
        <f t="shared" si="0"/>
        <v>181</v>
      </c>
      <c r="AB39" s="10">
        <v>321</v>
      </c>
      <c r="AC39" s="10">
        <f t="shared" si="1"/>
        <v>-140</v>
      </c>
      <c r="AD39" s="5"/>
    </row>
    <row r="40" spans="1:30" x14ac:dyDescent="0.2">
      <c r="A40" s="20" t="s">
        <v>38</v>
      </c>
      <c r="B40" s="21" t="s">
        <v>118</v>
      </c>
      <c r="C40" s="10">
        <v>7</v>
      </c>
      <c r="D40" s="10">
        <v>37</v>
      </c>
      <c r="E40" s="10">
        <v>0</v>
      </c>
      <c r="F40" s="10">
        <v>0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/>
      <c r="X40" s="10">
        <v>5</v>
      </c>
      <c r="Y40" s="10">
        <f>'Rahvastikutoimingud Ukraina'!K40</f>
        <v>53</v>
      </c>
      <c r="Z40" s="10">
        <f>'Rahvastikutoimingud Ukraina'!N40</f>
        <v>0</v>
      </c>
      <c r="AA40" s="10">
        <f t="shared" si="0"/>
        <v>233</v>
      </c>
      <c r="AB40" s="10">
        <v>224</v>
      </c>
      <c r="AC40" s="10">
        <f t="shared" si="1"/>
        <v>9</v>
      </c>
      <c r="AD40" s="5"/>
    </row>
    <row r="41" spans="1:30" x14ac:dyDescent="0.2">
      <c r="A41" s="20" t="s">
        <v>38</v>
      </c>
      <c r="B41" s="58" t="s">
        <v>37</v>
      </c>
      <c r="C41" s="10">
        <v>29</v>
      </c>
      <c r="D41" s="10">
        <v>91</v>
      </c>
      <c r="E41" s="10">
        <v>1</v>
      </c>
      <c r="F41" s="10">
        <v>105</v>
      </c>
      <c r="G41" s="10">
        <v>6</v>
      </c>
      <c r="H41" s="10">
        <v>3</v>
      </c>
      <c r="I41" s="10">
        <v>237</v>
      </c>
      <c r="J41" s="10">
        <v>68</v>
      </c>
      <c r="K41" s="10">
        <v>0</v>
      </c>
      <c r="L41" s="10">
        <v>1</v>
      </c>
      <c r="M41" s="10">
        <v>9</v>
      </c>
      <c r="N41" s="10">
        <v>142</v>
      </c>
      <c r="O41" s="10">
        <v>189</v>
      </c>
      <c r="P41" s="10">
        <v>123</v>
      </c>
      <c r="Q41" s="10">
        <v>69</v>
      </c>
      <c r="R41" s="10">
        <v>146</v>
      </c>
      <c r="S41" s="10">
        <v>0</v>
      </c>
      <c r="T41" s="10">
        <v>201</v>
      </c>
      <c r="U41" s="10">
        <v>752</v>
      </c>
      <c r="V41" s="10">
        <v>49</v>
      </c>
      <c r="W41" s="10">
        <v>800</v>
      </c>
      <c r="X41" s="10">
        <v>1053</v>
      </c>
      <c r="Y41" s="10">
        <f>'Rahvastikutoimingud Ukraina'!K41</f>
        <v>4480</v>
      </c>
      <c r="Z41" s="10">
        <f>'Rahvastikutoimingud Ukraina'!N41</f>
        <v>1053</v>
      </c>
      <c r="AA41" s="10">
        <f t="shared" si="0"/>
        <v>33123</v>
      </c>
      <c r="AB41" s="10">
        <v>47385</v>
      </c>
      <c r="AC41" s="10">
        <f t="shared" si="1"/>
        <v>-14262</v>
      </c>
      <c r="AD41" s="5"/>
    </row>
    <row r="42" spans="1:30" x14ac:dyDescent="0.2">
      <c r="A42" s="20" t="s">
        <v>38</v>
      </c>
      <c r="B42" s="21" t="s">
        <v>117</v>
      </c>
      <c r="C42" s="10">
        <v>17</v>
      </c>
      <c r="D42" s="10">
        <v>56</v>
      </c>
      <c r="E42" s="10">
        <v>0</v>
      </c>
      <c r="F42" s="10">
        <v>0</v>
      </c>
      <c r="G42" s="10">
        <v>2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/>
      <c r="X42" s="10">
        <v>18</v>
      </c>
      <c r="Y42" s="10">
        <f>'Rahvastikutoimingud Ukraina'!K42</f>
        <v>143</v>
      </c>
      <c r="Z42" s="10">
        <f>'Rahvastikutoimingud Ukraina'!N42</f>
        <v>0</v>
      </c>
      <c r="AA42" s="10">
        <f t="shared" si="0"/>
        <v>407</v>
      </c>
      <c r="AB42" s="10">
        <v>807</v>
      </c>
      <c r="AC42" s="10">
        <f t="shared" si="1"/>
        <v>-400</v>
      </c>
      <c r="AD42" s="5"/>
    </row>
    <row r="43" spans="1:30" x14ac:dyDescent="0.2">
      <c r="A43" s="20" t="s">
        <v>38</v>
      </c>
      <c r="B43" s="21" t="s">
        <v>116</v>
      </c>
      <c r="C43" s="10">
        <v>4</v>
      </c>
      <c r="D43" s="10">
        <v>48</v>
      </c>
      <c r="E43" s="10">
        <v>0</v>
      </c>
      <c r="F43" s="10">
        <v>0</v>
      </c>
      <c r="G43" s="10">
        <v>1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/>
      <c r="X43" s="10">
        <v>10</v>
      </c>
      <c r="Y43" s="10">
        <f>'Rahvastikutoimingud Ukraina'!K43</f>
        <v>4</v>
      </c>
      <c r="Z43" s="10">
        <f>'Rahvastikutoimingud Ukraina'!N43</f>
        <v>0</v>
      </c>
      <c r="AA43" s="10">
        <f t="shared" si="0"/>
        <v>287</v>
      </c>
      <c r="AB43" s="10">
        <v>429</v>
      </c>
      <c r="AC43" s="10">
        <f t="shared" si="1"/>
        <v>-142</v>
      </c>
      <c r="AD43" s="5"/>
    </row>
    <row r="44" spans="1:30" x14ac:dyDescent="0.2">
      <c r="A44" s="20" t="s">
        <v>38</v>
      </c>
      <c r="B44" s="21" t="s">
        <v>115</v>
      </c>
      <c r="C44" s="10">
        <v>8</v>
      </c>
      <c r="D44" s="10">
        <v>25</v>
      </c>
      <c r="E44" s="10">
        <v>0</v>
      </c>
      <c r="F44" s="10">
        <v>0</v>
      </c>
      <c r="G44" s="10">
        <v>3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/>
      <c r="X44" s="10">
        <v>6</v>
      </c>
      <c r="Y44" s="10">
        <f>'Rahvastikutoimingud Ukraina'!K44</f>
        <v>0</v>
      </c>
      <c r="Z44" s="10">
        <f>'Rahvastikutoimingud Ukraina'!N44</f>
        <v>0</v>
      </c>
      <c r="AA44" s="10">
        <f t="shared" si="0"/>
        <v>259</v>
      </c>
      <c r="AB44" s="10">
        <v>259</v>
      </c>
      <c r="AC44" s="10">
        <f t="shared" si="1"/>
        <v>0</v>
      </c>
      <c r="AD44" s="5"/>
    </row>
    <row r="45" spans="1:30" x14ac:dyDescent="0.2">
      <c r="A45" s="20" t="s">
        <v>38</v>
      </c>
      <c r="B45" s="21" t="s">
        <v>114</v>
      </c>
      <c r="C45" s="10">
        <v>10</v>
      </c>
      <c r="D45" s="10">
        <v>36</v>
      </c>
      <c r="E45" s="10">
        <v>0</v>
      </c>
      <c r="F45" s="10">
        <v>0</v>
      </c>
      <c r="G45" s="10">
        <v>2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/>
      <c r="X45" s="10">
        <v>6</v>
      </c>
      <c r="Y45" s="10">
        <f>'Rahvastikutoimingud Ukraina'!K45</f>
        <v>9</v>
      </c>
      <c r="Z45" s="10">
        <f>'Rahvastikutoimingud Ukraina'!N45</f>
        <v>0</v>
      </c>
      <c r="AA45" s="10">
        <f t="shared" si="0"/>
        <v>327</v>
      </c>
      <c r="AB45" s="10">
        <v>276</v>
      </c>
      <c r="AC45" s="10">
        <f t="shared" si="1"/>
        <v>51</v>
      </c>
      <c r="AD45" s="5"/>
    </row>
    <row r="46" spans="1:30" x14ac:dyDescent="0.2">
      <c r="A46" s="20" t="s">
        <v>35</v>
      </c>
      <c r="B46" s="21" t="s">
        <v>113</v>
      </c>
      <c r="C46" s="10">
        <v>9</v>
      </c>
      <c r="D46" s="10">
        <v>40</v>
      </c>
      <c r="E46" s="10">
        <v>0</v>
      </c>
      <c r="F46" s="10">
        <v>0</v>
      </c>
      <c r="G46" s="10">
        <v>2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/>
      <c r="X46" s="10">
        <v>8</v>
      </c>
      <c r="Y46" s="10">
        <f>'Rahvastikutoimingud Ukraina'!K46</f>
        <v>4</v>
      </c>
      <c r="Z46" s="10">
        <f>'Rahvastikutoimingud Ukraina'!N46</f>
        <v>0</v>
      </c>
      <c r="AA46" s="10">
        <f t="shared" si="0"/>
        <v>336</v>
      </c>
      <c r="AB46" s="10">
        <v>350</v>
      </c>
      <c r="AC46" s="10">
        <f t="shared" si="1"/>
        <v>-14</v>
      </c>
      <c r="AD46" s="5"/>
    </row>
    <row r="47" spans="1:30" x14ac:dyDescent="0.2">
      <c r="A47" s="20" t="s">
        <v>35</v>
      </c>
      <c r="B47" s="58" t="s">
        <v>112</v>
      </c>
      <c r="C47" s="10">
        <v>19</v>
      </c>
      <c r="D47" s="10">
        <v>88</v>
      </c>
      <c r="E47" s="10">
        <v>0</v>
      </c>
      <c r="F47" s="10">
        <v>17</v>
      </c>
      <c r="G47" s="10">
        <v>3</v>
      </c>
      <c r="H47" s="10">
        <v>4</v>
      </c>
      <c r="I47" s="10">
        <v>33</v>
      </c>
      <c r="J47" s="10">
        <v>13</v>
      </c>
      <c r="K47" s="10">
        <v>0</v>
      </c>
      <c r="L47" s="10">
        <v>0</v>
      </c>
      <c r="M47" s="10">
        <v>2</v>
      </c>
      <c r="N47" s="10">
        <v>62</v>
      </c>
      <c r="O47" s="10">
        <v>98</v>
      </c>
      <c r="P47" s="10">
        <v>39</v>
      </c>
      <c r="Q47" s="10">
        <v>16</v>
      </c>
      <c r="R47" s="10">
        <v>75</v>
      </c>
      <c r="S47" s="10">
        <v>0</v>
      </c>
      <c r="T47" s="10">
        <v>70</v>
      </c>
      <c r="U47" s="10">
        <v>1587</v>
      </c>
      <c r="V47" s="10">
        <v>40</v>
      </c>
      <c r="W47" s="10">
        <v>800</v>
      </c>
      <c r="X47" s="10">
        <v>680</v>
      </c>
      <c r="Y47" s="10">
        <f>'Rahvastikutoimingud Ukraina'!K47</f>
        <v>16718</v>
      </c>
      <c r="Z47" s="10">
        <f>'Rahvastikutoimingud Ukraina'!N47</f>
        <v>680</v>
      </c>
      <c r="AA47" s="10">
        <f t="shared" si="0"/>
        <v>9622</v>
      </c>
      <c r="AB47" s="10">
        <v>30617</v>
      </c>
      <c r="AC47" s="10">
        <f t="shared" si="1"/>
        <v>-20995</v>
      </c>
      <c r="AD47" s="5"/>
    </row>
    <row r="48" spans="1:30" x14ac:dyDescent="0.2">
      <c r="A48" s="20" t="s">
        <v>35</v>
      </c>
      <c r="B48" s="21" t="s">
        <v>111</v>
      </c>
      <c r="C48" s="10">
        <v>7</v>
      </c>
      <c r="D48" s="10">
        <v>27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/>
      <c r="X48" s="10">
        <v>6</v>
      </c>
      <c r="Y48" s="10">
        <f>'Rahvastikutoimingud Ukraina'!K48</f>
        <v>9</v>
      </c>
      <c r="Z48" s="10">
        <f>'Rahvastikutoimingud Ukraina'!N48</f>
        <v>0</v>
      </c>
      <c r="AA48" s="10">
        <f t="shared" si="0"/>
        <v>230</v>
      </c>
      <c r="AB48" s="10">
        <v>287</v>
      </c>
      <c r="AC48" s="10">
        <f t="shared" si="1"/>
        <v>-57</v>
      </c>
      <c r="AD48" s="5"/>
    </row>
    <row r="49" spans="1:30" x14ac:dyDescent="0.2">
      <c r="A49" s="20" t="s">
        <v>28</v>
      </c>
      <c r="B49" s="21" t="s">
        <v>110</v>
      </c>
      <c r="C49" s="10">
        <v>1</v>
      </c>
      <c r="D49" s="10">
        <v>31</v>
      </c>
      <c r="E49" s="10">
        <v>0</v>
      </c>
      <c r="F49" s="10">
        <v>0</v>
      </c>
      <c r="G49" s="10">
        <v>1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/>
      <c r="X49" s="10">
        <v>6</v>
      </c>
      <c r="Y49" s="10">
        <f>'Rahvastikutoimingud Ukraina'!K49</f>
        <v>4</v>
      </c>
      <c r="Z49" s="10">
        <f>'Rahvastikutoimingud Ukraina'!N49</f>
        <v>0</v>
      </c>
      <c r="AA49" s="10">
        <f t="shared" si="0"/>
        <v>160</v>
      </c>
      <c r="AB49" s="10">
        <v>254</v>
      </c>
      <c r="AC49" s="10">
        <f t="shared" si="1"/>
        <v>-94</v>
      </c>
      <c r="AD49" s="5"/>
    </row>
    <row r="50" spans="1:30" x14ac:dyDescent="0.2">
      <c r="A50" s="20" t="s">
        <v>28</v>
      </c>
      <c r="B50" s="21" t="s">
        <v>109</v>
      </c>
      <c r="C50" s="10">
        <v>0</v>
      </c>
      <c r="D50" s="10">
        <v>6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/>
      <c r="X50" s="10">
        <v>1</v>
      </c>
      <c r="Y50" s="10">
        <f>'Rahvastikutoimingud Ukraina'!K50</f>
        <v>0</v>
      </c>
      <c r="Z50" s="10">
        <f>'Rahvastikutoimingud Ukraina'!N50</f>
        <v>0</v>
      </c>
      <c r="AA50" s="10">
        <f t="shared" si="0"/>
        <v>28</v>
      </c>
      <c r="AB50" s="10">
        <v>28</v>
      </c>
      <c r="AC50" s="10">
        <f t="shared" si="1"/>
        <v>0</v>
      </c>
      <c r="AD50" s="5"/>
    </row>
    <row r="51" spans="1:30" x14ac:dyDescent="0.2">
      <c r="A51" s="20" t="s">
        <v>28</v>
      </c>
      <c r="B51" s="21" t="s">
        <v>221</v>
      </c>
      <c r="C51" s="10">
        <v>4</v>
      </c>
      <c r="D51" s="10">
        <v>28</v>
      </c>
      <c r="E51" s="10">
        <v>0</v>
      </c>
      <c r="F51" s="10">
        <v>0</v>
      </c>
      <c r="G51" s="10">
        <v>4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/>
      <c r="X51" s="10">
        <v>6</v>
      </c>
      <c r="Y51" s="10">
        <f>'Rahvastikutoimingud Ukraina'!K51</f>
        <v>16</v>
      </c>
      <c r="Z51" s="10">
        <f>'Rahvastikutoimingud Ukraina'!N51</f>
        <v>0</v>
      </c>
      <c r="AA51" s="10">
        <f t="shared" si="0"/>
        <v>196</v>
      </c>
      <c r="AB51" s="10">
        <v>252</v>
      </c>
      <c r="AC51" s="10">
        <f t="shared" si="1"/>
        <v>-56</v>
      </c>
      <c r="AD51" s="5"/>
    </row>
    <row r="52" spans="1:30" x14ac:dyDescent="0.2">
      <c r="A52" s="20" t="s">
        <v>28</v>
      </c>
      <c r="B52" s="21" t="s">
        <v>222</v>
      </c>
      <c r="C52" s="10">
        <v>15</v>
      </c>
      <c r="D52" s="10">
        <v>52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/>
      <c r="X52" s="10">
        <v>10</v>
      </c>
      <c r="Y52" s="10">
        <f>'Rahvastikutoimingud Ukraina'!K52</f>
        <v>16</v>
      </c>
      <c r="Z52" s="10">
        <f>'Rahvastikutoimingud Ukraina'!N52</f>
        <v>0</v>
      </c>
      <c r="AA52" s="10">
        <f t="shared" si="0"/>
        <v>471</v>
      </c>
      <c r="AB52" s="10">
        <v>449</v>
      </c>
      <c r="AC52" s="10">
        <f t="shared" si="1"/>
        <v>22</v>
      </c>
      <c r="AD52" s="5"/>
    </row>
    <row r="53" spans="1:30" x14ac:dyDescent="0.2">
      <c r="A53" s="20" t="s">
        <v>28</v>
      </c>
      <c r="B53" s="58" t="s">
        <v>30</v>
      </c>
      <c r="C53" s="10">
        <v>59</v>
      </c>
      <c r="D53" s="10">
        <v>314</v>
      </c>
      <c r="E53" s="10">
        <v>5</v>
      </c>
      <c r="F53" s="10">
        <v>193</v>
      </c>
      <c r="G53" s="10">
        <v>50</v>
      </c>
      <c r="H53" s="10">
        <v>13</v>
      </c>
      <c r="I53" s="10">
        <v>307</v>
      </c>
      <c r="J53" s="10">
        <v>102</v>
      </c>
      <c r="K53" s="10">
        <v>108</v>
      </c>
      <c r="L53" s="10">
        <v>4</v>
      </c>
      <c r="M53" s="10">
        <v>1</v>
      </c>
      <c r="N53" s="10">
        <v>307</v>
      </c>
      <c r="O53" s="10">
        <v>378</v>
      </c>
      <c r="P53" s="10">
        <v>191</v>
      </c>
      <c r="Q53" s="10">
        <v>149</v>
      </c>
      <c r="R53" s="10">
        <v>218</v>
      </c>
      <c r="S53" s="10">
        <v>0</v>
      </c>
      <c r="T53" s="10">
        <v>223</v>
      </c>
      <c r="U53" s="10">
        <v>1091</v>
      </c>
      <c r="V53" s="10">
        <v>43</v>
      </c>
      <c r="W53" s="10">
        <v>800</v>
      </c>
      <c r="X53" s="10">
        <v>1768</v>
      </c>
      <c r="Y53" s="10">
        <f>'Rahvastikutoimingud Ukraina'!K53</f>
        <v>5842</v>
      </c>
      <c r="Z53" s="10">
        <f>'Rahvastikutoimingud Ukraina'!N53</f>
        <v>1768</v>
      </c>
      <c r="AA53" s="10">
        <f t="shared" si="0"/>
        <v>51849</v>
      </c>
      <c r="AB53" s="10">
        <v>79580</v>
      </c>
      <c r="AC53" s="10">
        <f t="shared" si="1"/>
        <v>-27731</v>
      </c>
      <c r="AD53" s="5"/>
    </row>
    <row r="54" spans="1:30" x14ac:dyDescent="0.2">
      <c r="A54" s="20" t="s">
        <v>28</v>
      </c>
      <c r="B54" s="21" t="s">
        <v>108</v>
      </c>
      <c r="C54" s="10">
        <v>3</v>
      </c>
      <c r="D54" s="10">
        <v>18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/>
      <c r="X54" s="10">
        <v>5</v>
      </c>
      <c r="Y54" s="10">
        <f>'Rahvastikutoimingud Ukraina'!K54</f>
        <v>49</v>
      </c>
      <c r="Z54" s="10">
        <f>'Rahvastikutoimingud Ukraina'!N54</f>
        <v>0</v>
      </c>
      <c r="AA54" s="10">
        <f t="shared" si="0"/>
        <v>89</v>
      </c>
      <c r="AB54" s="10">
        <v>246</v>
      </c>
      <c r="AC54" s="10">
        <f t="shared" si="1"/>
        <v>-157</v>
      </c>
      <c r="AD54" s="5"/>
    </row>
    <row r="55" spans="1:30" x14ac:dyDescent="0.2">
      <c r="A55" s="20" t="s">
        <v>28</v>
      </c>
      <c r="B55" s="21" t="s">
        <v>107</v>
      </c>
      <c r="C55" s="10">
        <v>4</v>
      </c>
      <c r="D55" s="10">
        <v>133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/>
      <c r="X55" s="10">
        <v>17</v>
      </c>
      <c r="Y55" s="10">
        <f>'Rahvastikutoimingud Ukraina'!K55</f>
        <v>0</v>
      </c>
      <c r="Z55" s="10">
        <f>'Rahvastikutoimingud Ukraina'!N55</f>
        <v>0</v>
      </c>
      <c r="AA55" s="10">
        <f t="shared" si="0"/>
        <v>674</v>
      </c>
      <c r="AB55" s="10">
        <v>748</v>
      </c>
      <c r="AC55" s="10">
        <f t="shared" si="1"/>
        <v>-74</v>
      </c>
      <c r="AD55" s="5"/>
    </row>
    <row r="56" spans="1:30" x14ac:dyDescent="0.2">
      <c r="A56" s="20" t="s">
        <v>24</v>
      </c>
      <c r="B56" s="21" t="s">
        <v>106</v>
      </c>
      <c r="C56" s="10">
        <v>6</v>
      </c>
      <c r="D56" s="10">
        <v>34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/>
      <c r="X56" s="10">
        <v>6</v>
      </c>
      <c r="Y56" s="10">
        <f>'Rahvastikutoimingud Ukraina'!K56</f>
        <v>16</v>
      </c>
      <c r="Z56" s="10">
        <f>'Rahvastikutoimingud Ukraina'!N56</f>
        <v>0</v>
      </c>
      <c r="AA56" s="10">
        <f t="shared" si="0"/>
        <v>242</v>
      </c>
      <c r="AB56" s="10">
        <v>279</v>
      </c>
      <c r="AC56" s="10">
        <f t="shared" si="1"/>
        <v>-37</v>
      </c>
      <c r="AD56" s="5"/>
    </row>
    <row r="57" spans="1:30" x14ac:dyDescent="0.2">
      <c r="A57" s="20" t="s">
        <v>24</v>
      </c>
      <c r="B57" s="21" t="s">
        <v>105</v>
      </c>
      <c r="C57" s="10">
        <v>8</v>
      </c>
      <c r="D57" s="10">
        <v>55</v>
      </c>
      <c r="E57" s="10">
        <v>0</v>
      </c>
      <c r="F57" s="10">
        <v>0</v>
      </c>
      <c r="G57" s="10">
        <v>9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/>
      <c r="X57" s="10">
        <v>10</v>
      </c>
      <c r="Y57" s="10">
        <f>'Rahvastikutoimingud Ukraina'!K57</f>
        <v>13</v>
      </c>
      <c r="Z57" s="10">
        <f>'Rahvastikutoimingud Ukraina'!N57</f>
        <v>0</v>
      </c>
      <c r="AA57" s="10">
        <f t="shared" si="0"/>
        <v>410</v>
      </c>
      <c r="AB57" s="10">
        <v>438</v>
      </c>
      <c r="AC57" s="10">
        <f t="shared" si="1"/>
        <v>-28</v>
      </c>
      <c r="AD57" s="5"/>
    </row>
    <row r="58" spans="1:30" x14ac:dyDescent="0.2">
      <c r="A58" s="20" t="s">
        <v>24</v>
      </c>
      <c r="B58" s="21" t="s">
        <v>104</v>
      </c>
      <c r="C58" s="10">
        <v>4</v>
      </c>
      <c r="D58" s="10">
        <v>50</v>
      </c>
      <c r="E58" s="10">
        <v>0</v>
      </c>
      <c r="F58" s="10">
        <v>0</v>
      </c>
      <c r="G58" s="10">
        <v>3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/>
      <c r="X58" s="10">
        <v>10</v>
      </c>
      <c r="Y58" s="10">
        <f>'Rahvastikutoimingud Ukraina'!K58</f>
        <v>0</v>
      </c>
      <c r="Z58" s="10">
        <f>'Rahvastikutoimingud Ukraina'!N58</f>
        <v>0</v>
      </c>
      <c r="AA58" s="10">
        <f t="shared" si="0"/>
        <v>309</v>
      </c>
      <c r="AB58" s="10">
        <v>465</v>
      </c>
      <c r="AC58" s="10">
        <f t="shared" si="1"/>
        <v>-156</v>
      </c>
      <c r="AD58" s="5"/>
    </row>
    <row r="59" spans="1:30" x14ac:dyDescent="0.2">
      <c r="A59" s="20" t="s">
        <v>24</v>
      </c>
      <c r="B59" s="58" t="s">
        <v>103</v>
      </c>
      <c r="C59" s="10">
        <v>13</v>
      </c>
      <c r="D59" s="10">
        <v>78</v>
      </c>
      <c r="E59" s="10">
        <v>0</v>
      </c>
      <c r="F59" s="10">
        <v>26</v>
      </c>
      <c r="G59" s="10">
        <v>8</v>
      </c>
      <c r="H59" s="10">
        <v>3</v>
      </c>
      <c r="I59" s="10">
        <v>101</v>
      </c>
      <c r="J59" s="10">
        <v>28</v>
      </c>
      <c r="K59" s="10">
        <v>0</v>
      </c>
      <c r="L59" s="10">
        <v>0</v>
      </c>
      <c r="M59" s="10">
        <v>8</v>
      </c>
      <c r="N59" s="10">
        <v>110</v>
      </c>
      <c r="O59" s="10">
        <v>148</v>
      </c>
      <c r="P59" s="10">
        <v>31</v>
      </c>
      <c r="Q59" s="10">
        <v>22</v>
      </c>
      <c r="R59" s="10">
        <v>126</v>
      </c>
      <c r="S59" s="10">
        <v>0</v>
      </c>
      <c r="T59" s="10">
        <v>24</v>
      </c>
      <c r="U59" s="10">
        <v>1691</v>
      </c>
      <c r="V59" s="10">
        <v>37</v>
      </c>
      <c r="W59" s="10">
        <v>800</v>
      </c>
      <c r="X59" s="10">
        <v>760</v>
      </c>
      <c r="Y59" s="10">
        <f>'Rahvastikutoimingud Ukraina'!K59</f>
        <v>13475</v>
      </c>
      <c r="Z59" s="10">
        <f>'Rahvastikutoimingud Ukraina'!N59</f>
        <v>760</v>
      </c>
      <c r="AA59" s="10">
        <f t="shared" si="0"/>
        <v>19558</v>
      </c>
      <c r="AB59" s="10">
        <v>34203</v>
      </c>
      <c r="AC59" s="10">
        <f t="shared" si="1"/>
        <v>-14645</v>
      </c>
      <c r="AD59" s="5"/>
    </row>
    <row r="60" spans="1:30" x14ac:dyDescent="0.2">
      <c r="A60" s="20" t="s">
        <v>20</v>
      </c>
      <c r="B60" s="21" t="s">
        <v>102</v>
      </c>
      <c r="C60" s="10">
        <v>3</v>
      </c>
      <c r="D60" s="10">
        <v>8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/>
      <c r="X60" s="10">
        <v>3</v>
      </c>
      <c r="Y60" s="10">
        <f>'Rahvastikutoimingud Ukraina'!K60</f>
        <v>0</v>
      </c>
      <c r="Z60" s="10">
        <f>'Rahvastikutoimingud Ukraina'!N60</f>
        <v>0</v>
      </c>
      <c r="AA60" s="10">
        <f t="shared" si="0"/>
        <v>87</v>
      </c>
      <c r="AB60" s="10">
        <v>145</v>
      </c>
      <c r="AC60" s="10">
        <f t="shared" si="1"/>
        <v>-58</v>
      </c>
      <c r="AD60" s="5"/>
    </row>
    <row r="61" spans="1:30" x14ac:dyDescent="0.2">
      <c r="A61" s="23" t="s">
        <v>20</v>
      </c>
      <c r="B61" s="21" t="s">
        <v>101</v>
      </c>
      <c r="C61" s="10">
        <v>0</v>
      </c>
      <c r="D61" s="10">
        <v>1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/>
      <c r="X61" s="10">
        <v>0</v>
      </c>
      <c r="Y61" s="10">
        <f>'Rahvastikutoimingud Ukraina'!K61</f>
        <v>0</v>
      </c>
      <c r="Z61" s="10">
        <f>'Rahvastikutoimingud Ukraina'!N61</f>
        <v>0</v>
      </c>
      <c r="AA61" s="10">
        <f t="shared" si="0"/>
        <v>4</v>
      </c>
      <c r="AB61" s="10">
        <v>0</v>
      </c>
      <c r="AC61" s="10">
        <f t="shared" si="1"/>
        <v>4</v>
      </c>
      <c r="AD61" s="5"/>
    </row>
    <row r="62" spans="1:30" x14ac:dyDescent="0.2">
      <c r="A62" s="23" t="s">
        <v>20</v>
      </c>
      <c r="B62" s="58" t="s">
        <v>223</v>
      </c>
      <c r="C62" s="10">
        <v>28</v>
      </c>
      <c r="D62" s="10">
        <v>246</v>
      </c>
      <c r="E62" s="10">
        <v>1</v>
      </c>
      <c r="F62" s="10">
        <v>39</v>
      </c>
      <c r="G62" s="10">
        <v>19</v>
      </c>
      <c r="H62" s="10">
        <v>2</v>
      </c>
      <c r="I62" s="10">
        <v>118</v>
      </c>
      <c r="J62" s="10">
        <v>30</v>
      </c>
      <c r="K62" s="10">
        <v>0</v>
      </c>
      <c r="L62" s="10">
        <v>0</v>
      </c>
      <c r="M62" s="10">
        <v>17</v>
      </c>
      <c r="N62" s="10">
        <v>115</v>
      </c>
      <c r="O62" s="10">
        <v>125</v>
      </c>
      <c r="P62" s="10">
        <v>70</v>
      </c>
      <c r="Q62" s="10">
        <v>51</v>
      </c>
      <c r="R62" s="10">
        <v>91</v>
      </c>
      <c r="S62" s="10">
        <v>0</v>
      </c>
      <c r="T62" s="10">
        <v>232</v>
      </c>
      <c r="U62" s="10">
        <v>111</v>
      </c>
      <c r="V62" s="10">
        <v>69</v>
      </c>
      <c r="W62" s="10">
        <v>800</v>
      </c>
      <c r="X62" s="10">
        <v>520</v>
      </c>
      <c r="Y62" s="10">
        <f>'Rahvastikutoimingud Ukraina'!K62</f>
        <v>966</v>
      </c>
      <c r="Z62" s="10">
        <f>'Rahvastikutoimingud Ukraina'!N62</f>
        <v>206</v>
      </c>
      <c r="AA62" s="10">
        <f t="shared" si="0"/>
        <v>19885</v>
      </c>
      <c r="AB62" s="10">
        <v>23377</v>
      </c>
      <c r="AC62" s="10">
        <f t="shared" si="1"/>
        <v>-3492</v>
      </c>
      <c r="AD62" s="5"/>
    </row>
    <row r="63" spans="1:30" x14ac:dyDescent="0.2">
      <c r="A63" s="20" t="s">
        <v>13</v>
      </c>
      <c r="B63" s="21" t="s">
        <v>224</v>
      </c>
      <c r="C63" s="10">
        <v>4</v>
      </c>
      <c r="D63" s="10">
        <v>114</v>
      </c>
      <c r="E63" s="10">
        <v>0</v>
      </c>
      <c r="F63" s="10">
        <v>0</v>
      </c>
      <c r="G63" s="10">
        <v>1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/>
      <c r="X63" s="10">
        <v>17</v>
      </c>
      <c r="Y63" s="10">
        <f>'Rahvastikutoimingud Ukraina'!K63</f>
        <v>9</v>
      </c>
      <c r="Z63" s="10">
        <f>'Rahvastikutoimingud Ukraina'!N63</f>
        <v>0</v>
      </c>
      <c r="AA63" s="10">
        <f t="shared" si="0"/>
        <v>581</v>
      </c>
      <c r="AB63" s="10">
        <v>778</v>
      </c>
      <c r="AC63" s="10">
        <f t="shared" si="1"/>
        <v>-197</v>
      </c>
      <c r="AD63" s="5"/>
    </row>
    <row r="64" spans="1:30" x14ac:dyDescent="0.2">
      <c r="A64" s="20" t="s">
        <v>13</v>
      </c>
      <c r="B64" s="21" t="s">
        <v>100</v>
      </c>
      <c r="C64" s="10">
        <v>4</v>
      </c>
      <c r="D64" s="10">
        <v>164</v>
      </c>
      <c r="E64" s="10">
        <v>0</v>
      </c>
      <c r="F64" s="10">
        <v>0</v>
      </c>
      <c r="G64" s="10">
        <v>7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/>
      <c r="X64" s="10">
        <v>18</v>
      </c>
      <c r="Y64" s="10">
        <f>'Rahvastikutoimingud Ukraina'!K64</f>
        <v>16</v>
      </c>
      <c r="Z64" s="10">
        <f>'Rahvastikutoimingud Ukraina'!N64</f>
        <v>0</v>
      </c>
      <c r="AA64" s="10">
        <f t="shared" si="0"/>
        <v>823</v>
      </c>
      <c r="AB64" s="10">
        <v>800</v>
      </c>
      <c r="AC64" s="10">
        <f t="shared" si="1"/>
        <v>23</v>
      </c>
      <c r="AD64" s="5"/>
    </row>
    <row r="65" spans="1:30" x14ac:dyDescent="0.2">
      <c r="A65" s="20" t="s">
        <v>13</v>
      </c>
      <c r="B65" s="21" t="s">
        <v>225</v>
      </c>
      <c r="C65" s="10">
        <v>4</v>
      </c>
      <c r="D65" s="10">
        <v>84</v>
      </c>
      <c r="E65" s="10">
        <v>0</v>
      </c>
      <c r="F65" s="10">
        <v>0</v>
      </c>
      <c r="G65" s="10">
        <v>2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/>
      <c r="X65" s="10">
        <v>11</v>
      </c>
      <c r="Y65" s="10">
        <f>'Rahvastikutoimingud Ukraina'!K65</f>
        <v>0</v>
      </c>
      <c r="Z65" s="10">
        <f>'Rahvastikutoimingud Ukraina'!N65</f>
        <v>0</v>
      </c>
      <c r="AA65" s="10">
        <f t="shared" si="0"/>
        <v>456</v>
      </c>
      <c r="AB65" s="10">
        <v>476</v>
      </c>
      <c r="AC65" s="10">
        <f t="shared" si="1"/>
        <v>-20</v>
      </c>
      <c r="AD65" s="5"/>
    </row>
    <row r="66" spans="1:30" x14ac:dyDescent="0.2">
      <c r="A66" s="20" t="s">
        <v>13</v>
      </c>
      <c r="B66" s="21" t="s">
        <v>99</v>
      </c>
      <c r="C66" s="10">
        <v>7</v>
      </c>
      <c r="D66" s="10">
        <v>69</v>
      </c>
      <c r="E66" s="10">
        <v>0</v>
      </c>
      <c r="F66" s="10">
        <v>0</v>
      </c>
      <c r="G66" s="10">
        <v>1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/>
      <c r="X66" s="10">
        <v>9</v>
      </c>
      <c r="Y66" s="10">
        <f>'Rahvastikutoimingud Ukraina'!K66</f>
        <v>4</v>
      </c>
      <c r="Z66" s="10">
        <f>'Rahvastikutoimingud Ukraina'!N66</f>
        <v>0</v>
      </c>
      <c r="AA66" s="10">
        <f t="shared" si="0"/>
        <v>428</v>
      </c>
      <c r="AB66" s="10">
        <v>393</v>
      </c>
      <c r="AC66" s="10">
        <f t="shared" si="1"/>
        <v>35</v>
      </c>
      <c r="AD66" s="5"/>
    </row>
    <row r="67" spans="1:30" x14ac:dyDescent="0.2">
      <c r="A67" s="20" t="s">
        <v>13</v>
      </c>
      <c r="B67" s="21" t="s">
        <v>98</v>
      </c>
      <c r="C67" s="10">
        <v>1</v>
      </c>
      <c r="D67" s="10">
        <v>33</v>
      </c>
      <c r="E67" s="10">
        <v>0</v>
      </c>
      <c r="F67" s="10">
        <v>0</v>
      </c>
      <c r="G67" s="10">
        <v>1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/>
      <c r="X67" s="10">
        <v>5</v>
      </c>
      <c r="Y67" s="10">
        <f>'Rahvastikutoimingud Ukraina'!K67</f>
        <v>0</v>
      </c>
      <c r="Z67" s="10">
        <f>'Rahvastikutoimingud Ukraina'!N67</f>
        <v>0</v>
      </c>
      <c r="AA67" s="10">
        <f t="shared" si="0"/>
        <v>171</v>
      </c>
      <c r="AB67" s="10">
        <v>205</v>
      </c>
      <c r="AC67" s="10">
        <f t="shared" si="1"/>
        <v>-34</v>
      </c>
      <c r="AD67" s="5"/>
    </row>
    <row r="68" spans="1:30" x14ac:dyDescent="0.2">
      <c r="A68" s="20" t="s">
        <v>13</v>
      </c>
      <c r="B68" s="21" t="s">
        <v>97</v>
      </c>
      <c r="C68" s="10">
        <v>5</v>
      </c>
      <c r="D68" s="10">
        <v>37</v>
      </c>
      <c r="E68" s="10">
        <v>0</v>
      </c>
      <c r="F68" s="10">
        <v>0</v>
      </c>
      <c r="G68" s="10">
        <v>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/>
      <c r="X68" s="10">
        <v>5</v>
      </c>
      <c r="Y68" s="10">
        <f>'Rahvastikutoimingud Ukraina'!K68</f>
        <v>16</v>
      </c>
      <c r="Z68" s="10">
        <f>'Rahvastikutoimingud Ukraina'!N68</f>
        <v>0</v>
      </c>
      <c r="AA68" s="10">
        <f t="shared" si="0"/>
        <v>238</v>
      </c>
      <c r="AB68" s="10">
        <v>213</v>
      </c>
      <c r="AC68" s="10">
        <f t="shared" si="1"/>
        <v>25</v>
      </c>
      <c r="AD68" s="5"/>
    </row>
    <row r="69" spans="1:30" x14ac:dyDescent="0.2">
      <c r="A69" s="20" t="s">
        <v>13</v>
      </c>
      <c r="B69" s="21" t="s">
        <v>96</v>
      </c>
      <c r="C69" s="10">
        <v>12</v>
      </c>
      <c r="D69" s="10">
        <v>153</v>
      </c>
      <c r="E69" s="10">
        <v>0</v>
      </c>
      <c r="F69" s="10">
        <v>0</v>
      </c>
      <c r="G69" s="10">
        <v>4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/>
      <c r="X69" s="10">
        <v>19</v>
      </c>
      <c r="Y69" s="10">
        <f>'Rahvastikutoimingud Ukraina'!K69</f>
        <v>21</v>
      </c>
      <c r="Z69" s="10">
        <f>'Rahvastikutoimingud Ukraina'!N69</f>
        <v>0</v>
      </c>
      <c r="AA69" s="10">
        <f t="shared" ref="AA69:AA82" si="2">ROUND(C69*C$3+D69*D$3+E69*E$3+F69*F$3+G69*G$3+H69*H$3+I69*I$3+J69*J$3+K69*K$3+L69*L$3+M69*M$3+N69*N$3+O69*O$3+P69*P$3+Q69*Q$3+R69*R$3+S69*S$3+T69*T$3+U69*U$3+V69*V$3+W69+X69-Y69-Z69,0)</f>
        <v>886</v>
      </c>
      <c r="AB69" s="10">
        <v>840</v>
      </c>
      <c r="AC69" s="10">
        <f t="shared" ref="AC69:AC82" si="3">AA69-AB69</f>
        <v>46</v>
      </c>
      <c r="AD69" s="5"/>
    </row>
    <row r="70" spans="1:30" x14ac:dyDescent="0.2">
      <c r="A70" s="20" t="s">
        <v>13</v>
      </c>
      <c r="B70" s="58" t="s">
        <v>15</v>
      </c>
      <c r="C70" s="10">
        <v>117</v>
      </c>
      <c r="D70" s="10">
        <v>709</v>
      </c>
      <c r="E70" s="10">
        <v>0</v>
      </c>
      <c r="F70" s="10">
        <v>731</v>
      </c>
      <c r="G70" s="10">
        <v>531</v>
      </c>
      <c r="H70" s="10">
        <v>19</v>
      </c>
      <c r="I70" s="10">
        <v>758</v>
      </c>
      <c r="J70" s="10">
        <v>265</v>
      </c>
      <c r="K70" s="10">
        <v>312</v>
      </c>
      <c r="L70" s="10">
        <v>6</v>
      </c>
      <c r="M70" s="10">
        <v>128</v>
      </c>
      <c r="N70" s="10">
        <v>728</v>
      </c>
      <c r="O70" s="10">
        <v>805</v>
      </c>
      <c r="P70" s="10">
        <v>483</v>
      </c>
      <c r="Q70" s="10">
        <v>209</v>
      </c>
      <c r="R70" s="10">
        <v>382</v>
      </c>
      <c r="S70" s="10">
        <v>1</v>
      </c>
      <c r="T70" s="10">
        <v>498</v>
      </c>
      <c r="U70" s="10">
        <v>1219</v>
      </c>
      <c r="V70" s="10">
        <v>36</v>
      </c>
      <c r="W70" s="10">
        <v>1400</v>
      </c>
      <c r="X70" s="10">
        <v>3217</v>
      </c>
      <c r="Y70" s="10">
        <f>'Rahvastikutoimingud Ukraina'!K70</f>
        <v>13241</v>
      </c>
      <c r="Z70" s="10">
        <f>'Rahvastikutoimingud Ukraina'!N70</f>
        <v>3217</v>
      </c>
      <c r="AA70" s="10">
        <f t="shared" si="2"/>
        <v>114322</v>
      </c>
      <c r="AB70" s="10">
        <v>144748</v>
      </c>
      <c r="AC70" s="10">
        <f t="shared" si="3"/>
        <v>-30426</v>
      </c>
      <c r="AD70" s="5"/>
    </row>
    <row r="71" spans="1:30" x14ac:dyDescent="0.2">
      <c r="A71" s="20" t="s">
        <v>10</v>
      </c>
      <c r="B71" s="21" t="s">
        <v>95</v>
      </c>
      <c r="C71" s="10">
        <v>1</v>
      </c>
      <c r="D71" s="10">
        <v>35</v>
      </c>
      <c r="E71" s="10">
        <v>0</v>
      </c>
      <c r="F71" s="10">
        <v>0</v>
      </c>
      <c r="G71" s="10">
        <v>3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/>
      <c r="X71" s="10">
        <v>11</v>
      </c>
      <c r="Y71" s="10">
        <f>'Rahvastikutoimingud Ukraina'!K71</f>
        <v>0</v>
      </c>
      <c r="Z71" s="10">
        <f>'Rahvastikutoimingud Ukraina'!N71</f>
        <v>0</v>
      </c>
      <c r="AA71" s="10">
        <f t="shared" si="2"/>
        <v>195</v>
      </c>
      <c r="AB71" s="10">
        <v>514</v>
      </c>
      <c r="AC71" s="10">
        <f t="shared" si="3"/>
        <v>-319</v>
      </c>
      <c r="AD71" s="5"/>
    </row>
    <row r="72" spans="1:30" x14ac:dyDescent="0.2">
      <c r="A72" s="20" t="s">
        <v>10</v>
      </c>
      <c r="B72" s="21" t="s">
        <v>226</v>
      </c>
      <c r="C72" s="10">
        <v>7</v>
      </c>
      <c r="D72" s="10">
        <v>38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/>
      <c r="X72" s="10">
        <v>5</v>
      </c>
      <c r="Y72" s="10">
        <f>'Rahvastikutoimingud Ukraina'!K72</f>
        <v>16</v>
      </c>
      <c r="Z72" s="10">
        <f>'Rahvastikutoimingud Ukraina'!N72</f>
        <v>0</v>
      </c>
      <c r="AA72" s="10">
        <f t="shared" si="2"/>
        <v>270</v>
      </c>
      <c r="AB72" s="10">
        <v>228</v>
      </c>
      <c r="AC72" s="10">
        <f t="shared" si="3"/>
        <v>42</v>
      </c>
      <c r="AD72" s="5"/>
    </row>
    <row r="73" spans="1:30" x14ac:dyDescent="0.2">
      <c r="A73" s="20" t="s">
        <v>10</v>
      </c>
      <c r="B73" s="58" t="s">
        <v>227</v>
      </c>
      <c r="C73" s="10">
        <v>25</v>
      </c>
      <c r="D73" s="10">
        <v>70</v>
      </c>
      <c r="E73" s="10">
        <v>1</v>
      </c>
      <c r="F73" s="10">
        <v>231</v>
      </c>
      <c r="G73" s="10">
        <v>26</v>
      </c>
      <c r="H73" s="10">
        <v>8</v>
      </c>
      <c r="I73" s="10">
        <v>76</v>
      </c>
      <c r="J73" s="10">
        <v>29</v>
      </c>
      <c r="K73" s="10">
        <v>0</v>
      </c>
      <c r="L73" s="10">
        <v>0</v>
      </c>
      <c r="M73" s="10">
        <v>3</v>
      </c>
      <c r="N73" s="10">
        <v>49</v>
      </c>
      <c r="O73" s="10">
        <v>61</v>
      </c>
      <c r="P73" s="10">
        <v>86</v>
      </c>
      <c r="Q73" s="10">
        <v>33</v>
      </c>
      <c r="R73" s="10">
        <v>84</v>
      </c>
      <c r="S73" s="10">
        <v>0</v>
      </c>
      <c r="T73" s="10">
        <v>59</v>
      </c>
      <c r="U73" s="10">
        <v>284</v>
      </c>
      <c r="V73" s="10">
        <v>33</v>
      </c>
      <c r="W73" s="10">
        <v>800</v>
      </c>
      <c r="X73" s="10">
        <v>434</v>
      </c>
      <c r="Y73" s="10">
        <f>'Rahvastikutoimingud Ukraina'!K73</f>
        <v>1718</v>
      </c>
      <c r="Z73" s="10">
        <f>'Rahvastikutoimingud Ukraina'!N73</f>
        <v>368</v>
      </c>
      <c r="AA73" s="10">
        <f t="shared" si="2"/>
        <v>15073</v>
      </c>
      <c r="AB73" s="10">
        <v>19526</v>
      </c>
      <c r="AC73" s="10">
        <f t="shared" si="3"/>
        <v>-4453</v>
      </c>
      <c r="AD73" s="5"/>
    </row>
    <row r="74" spans="1:30" x14ac:dyDescent="0.2">
      <c r="A74" s="20" t="s">
        <v>6</v>
      </c>
      <c r="B74" s="21" t="s">
        <v>228</v>
      </c>
      <c r="C74" s="10">
        <v>15</v>
      </c>
      <c r="D74" s="10">
        <v>31</v>
      </c>
      <c r="E74" s="10">
        <v>0</v>
      </c>
      <c r="F74" s="10">
        <v>0</v>
      </c>
      <c r="G74" s="10">
        <v>1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/>
      <c r="X74" s="10">
        <v>10</v>
      </c>
      <c r="Y74" s="10">
        <f>'Rahvastikutoimingud Ukraina'!K74</f>
        <v>32</v>
      </c>
      <c r="Z74" s="10">
        <f>'Rahvastikutoimingud Ukraina'!N74</f>
        <v>0</v>
      </c>
      <c r="AA74" s="10">
        <f t="shared" si="2"/>
        <v>363</v>
      </c>
      <c r="AB74" s="10">
        <v>466</v>
      </c>
      <c r="AC74" s="10">
        <f t="shared" si="3"/>
        <v>-103</v>
      </c>
      <c r="AD74" s="5"/>
    </row>
    <row r="75" spans="1:30" x14ac:dyDescent="0.2">
      <c r="A75" s="20" t="s">
        <v>6</v>
      </c>
      <c r="B75" s="21" t="s">
        <v>229</v>
      </c>
      <c r="C75" s="10">
        <v>6</v>
      </c>
      <c r="D75" s="10">
        <v>48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/>
      <c r="X75" s="10">
        <v>9</v>
      </c>
      <c r="Y75" s="10">
        <f>'Rahvastikutoimingud Ukraina'!K75</f>
        <v>16</v>
      </c>
      <c r="Z75" s="10">
        <f>'Rahvastikutoimingud Ukraina'!N75</f>
        <v>0</v>
      </c>
      <c r="AA75" s="10">
        <f t="shared" si="2"/>
        <v>302</v>
      </c>
      <c r="AB75" s="10">
        <v>407</v>
      </c>
      <c r="AC75" s="10">
        <f t="shared" si="3"/>
        <v>-105</v>
      </c>
      <c r="AD75" s="5"/>
    </row>
    <row r="76" spans="1:30" x14ac:dyDescent="0.2">
      <c r="A76" s="20" t="s">
        <v>6</v>
      </c>
      <c r="B76" s="21" t="s">
        <v>94</v>
      </c>
      <c r="C76" s="10">
        <v>7</v>
      </c>
      <c r="D76" s="10">
        <v>106</v>
      </c>
      <c r="E76" s="10">
        <v>0</v>
      </c>
      <c r="F76" s="10">
        <v>0</v>
      </c>
      <c r="G76" s="10">
        <v>3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/>
      <c r="X76" s="10">
        <v>13</v>
      </c>
      <c r="Y76" s="10">
        <f>'Rahvastikutoimingud Ukraina'!K76</f>
        <v>16</v>
      </c>
      <c r="Z76" s="10">
        <f>'Rahvastikutoimingud Ukraina'!N76</f>
        <v>0</v>
      </c>
      <c r="AA76" s="10">
        <f t="shared" si="2"/>
        <v>592</v>
      </c>
      <c r="AB76" s="10">
        <v>590</v>
      </c>
      <c r="AC76" s="10">
        <f t="shared" si="3"/>
        <v>2</v>
      </c>
      <c r="AD76" s="5"/>
    </row>
    <row r="77" spans="1:30" x14ac:dyDescent="0.2">
      <c r="A77" s="20" t="s">
        <v>6</v>
      </c>
      <c r="B77" s="58" t="s">
        <v>5</v>
      </c>
      <c r="C77" s="10">
        <v>24</v>
      </c>
      <c r="D77" s="10">
        <v>128</v>
      </c>
      <c r="E77" s="10">
        <v>0</v>
      </c>
      <c r="F77" s="10">
        <v>101</v>
      </c>
      <c r="G77" s="10">
        <v>17</v>
      </c>
      <c r="H77" s="10">
        <v>4</v>
      </c>
      <c r="I77" s="10">
        <v>166</v>
      </c>
      <c r="J77" s="10">
        <v>58</v>
      </c>
      <c r="K77" s="10">
        <v>0</v>
      </c>
      <c r="L77" s="10">
        <v>0</v>
      </c>
      <c r="M77" s="10">
        <v>2</v>
      </c>
      <c r="N77" s="10">
        <v>115</v>
      </c>
      <c r="O77" s="10">
        <v>160</v>
      </c>
      <c r="P77" s="10">
        <v>76</v>
      </c>
      <c r="Q77" s="10">
        <v>53</v>
      </c>
      <c r="R77" s="10">
        <v>196</v>
      </c>
      <c r="S77" s="10">
        <v>0</v>
      </c>
      <c r="T77" s="10">
        <v>76</v>
      </c>
      <c r="U77" s="10">
        <v>1858</v>
      </c>
      <c r="V77" s="10">
        <v>61</v>
      </c>
      <c r="W77" s="10">
        <v>800</v>
      </c>
      <c r="X77" s="10">
        <v>893</v>
      </c>
      <c r="Y77" s="10">
        <f>'Rahvastikutoimingud Ukraina'!K77</f>
        <v>15345</v>
      </c>
      <c r="Z77" s="10">
        <f>'Rahvastikutoimingud Ukraina'!N77</f>
        <v>893</v>
      </c>
      <c r="AA77" s="10">
        <f t="shared" si="2"/>
        <v>28449</v>
      </c>
      <c r="AB77" s="10">
        <v>40178</v>
      </c>
      <c r="AC77" s="10">
        <f t="shared" si="3"/>
        <v>-11729</v>
      </c>
      <c r="AD77" s="5"/>
    </row>
    <row r="78" spans="1:30" x14ac:dyDescent="0.2">
      <c r="A78" s="20" t="s">
        <v>1</v>
      </c>
      <c r="B78" s="21" t="s">
        <v>93</v>
      </c>
      <c r="C78" s="10">
        <v>1</v>
      </c>
      <c r="D78" s="10">
        <v>20</v>
      </c>
      <c r="E78" s="10">
        <v>0</v>
      </c>
      <c r="F78" s="10">
        <v>0</v>
      </c>
      <c r="G78" s="10">
        <v>3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/>
      <c r="X78" s="10">
        <v>4</v>
      </c>
      <c r="Y78" s="10">
        <f>'Rahvastikutoimingud Ukraina'!K78</f>
        <v>0</v>
      </c>
      <c r="Z78" s="10">
        <f>'Rahvastikutoimingud Ukraina'!N78</f>
        <v>0</v>
      </c>
      <c r="AA78" s="10">
        <f t="shared" si="2"/>
        <v>122</v>
      </c>
      <c r="AB78" s="10">
        <v>189</v>
      </c>
      <c r="AC78" s="10">
        <f t="shared" si="3"/>
        <v>-67</v>
      </c>
      <c r="AD78" s="5"/>
    </row>
    <row r="79" spans="1:30" x14ac:dyDescent="0.2">
      <c r="A79" s="20" t="s">
        <v>1</v>
      </c>
      <c r="B79" s="21" t="s">
        <v>92</v>
      </c>
      <c r="C79" s="10">
        <v>5</v>
      </c>
      <c r="D79" s="10">
        <v>18</v>
      </c>
      <c r="E79" s="10">
        <v>0</v>
      </c>
      <c r="F79" s="10">
        <v>0</v>
      </c>
      <c r="G79" s="10">
        <v>6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/>
      <c r="X79" s="10">
        <v>6</v>
      </c>
      <c r="Y79" s="10">
        <f>'Rahvastikutoimingud Ukraina'!K79</f>
        <v>0</v>
      </c>
      <c r="Z79" s="10">
        <f>'Rahvastikutoimingud Ukraina'!N79</f>
        <v>0</v>
      </c>
      <c r="AA79" s="10">
        <f t="shared" si="2"/>
        <v>193</v>
      </c>
      <c r="AB79" s="10">
        <v>247</v>
      </c>
      <c r="AC79" s="10">
        <f t="shared" si="3"/>
        <v>-54</v>
      </c>
      <c r="AD79" s="5"/>
    </row>
    <row r="80" spans="1:30" x14ac:dyDescent="0.2">
      <c r="A80" s="20" t="s">
        <v>1</v>
      </c>
      <c r="B80" s="21" t="s">
        <v>230</v>
      </c>
      <c r="C80" s="10">
        <v>2</v>
      </c>
      <c r="D80" s="10">
        <v>12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/>
      <c r="X80" s="10">
        <v>2</v>
      </c>
      <c r="Y80" s="10">
        <f>'Rahvastikutoimingud Ukraina'!K80</f>
        <v>0</v>
      </c>
      <c r="Z80" s="10">
        <f>'Rahvastikutoimingud Ukraina'!N80</f>
        <v>0</v>
      </c>
      <c r="AA80" s="10">
        <f t="shared" si="2"/>
        <v>87</v>
      </c>
      <c r="AB80" s="10">
        <v>103</v>
      </c>
      <c r="AC80" s="10">
        <f t="shared" si="3"/>
        <v>-16</v>
      </c>
      <c r="AD80" s="5"/>
    </row>
    <row r="81" spans="1:30" x14ac:dyDescent="0.2">
      <c r="A81" s="20" t="s">
        <v>1</v>
      </c>
      <c r="B81" s="21" t="s">
        <v>91</v>
      </c>
      <c r="C81" s="10">
        <v>25</v>
      </c>
      <c r="D81" s="10">
        <v>65</v>
      </c>
      <c r="E81" s="10">
        <v>0</v>
      </c>
      <c r="F81" s="10">
        <v>0</v>
      </c>
      <c r="G81" s="10">
        <v>2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/>
      <c r="X81" s="10">
        <v>13</v>
      </c>
      <c r="Y81" s="10">
        <f>'Rahvastikutoimingud Ukraina'!K81</f>
        <v>0</v>
      </c>
      <c r="Z81" s="10">
        <f>'Rahvastikutoimingud Ukraina'!N81</f>
        <v>0</v>
      </c>
      <c r="AA81" s="10">
        <f t="shared" si="2"/>
        <v>714</v>
      </c>
      <c r="AB81" s="10">
        <v>606</v>
      </c>
      <c r="AC81" s="10">
        <f t="shared" si="3"/>
        <v>108</v>
      </c>
      <c r="AD81" s="5"/>
    </row>
    <row r="82" spans="1:30" x14ac:dyDescent="0.2">
      <c r="A82" s="20" t="s">
        <v>1</v>
      </c>
      <c r="B82" s="58" t="s">
        <v>0</v>
      </c>
      <c r="C82" s="10">
        <v>17</v>
      </c>
      <c r="D82" s="10">
        <v>74</v>
      </c>
      <c r="E82" s="10">
        <v>0</v>
      </c>
      <c r="F82" s="10">
        <v>162</v>
      </c>
      <c r="G82" s="10">
        <v>9</v>
      </c>
      <c r="H82" s="10">
        <v>8</v>
      </c>
      <c r="I82" s="10">
        <v>99</v>
      </c>
      <c r="J82" s="10">
        <v>27</v>
      </c>
      <c r="K82" s="10">
        <v>0</v>
      </c>
      <c r="L82" s="10">
        <v>0</v>
      </c>
      <c r="M82" s="10">
        <v>9</v>
      </c>
      <c r="N82" s="10">
        <v>84</v>
      </c>
      <c r="O82" s="10">
        <v>103</v>
      </c>
      <c r="P82" s="10">
        <v>65</v>
      </c>
      <c r="Q82" s="10">
        <v>42</v>
      </c>
      <c r="R82" s="10">
        <v>140</v>
      </c>
      <c r="S82" s="10">
        <v>0</v>
      </c>
      <c r="T82" s="10">
        <v>56</v>
      </c>
      <c r="U82" s="10">
        <v>261</v>
      </c>
      <c r="V82" s="10">
        <v>56</v>
      </c>
      <c r="W82" s="10">
        <v>800</v>
      </c>
      <c r="X82" s="10">
        <v>523</v>
      </c>
      <c r="Y82" s="10">
        <f>'Rahvastikutoimingud Ukraina'!K82</f>
        <v>1410</v>
      </c>
      <c r="Z82" s="10">
        <f>'Rahvastikutoimingud Ukraina'!N82</f>
        <v>523</v>
      </c>
      <c r="AA82" s="10">
        <f t="shared" si="2"/>
        <v>17162</v>
      </c>
      <c r="AB82" s="10">
        <v>23512</v>
      </c>
      <c r="AC82" s="10">
        <f t="shared" si="3"/>
        <v>-6350</v>
      </c>
      <c r="AD82" s="5"/>
    </row>
    <row r="83" spans="1:30" x14ac:dyDescent="0.2">
      <c r="A83" s="238" t="s">
        <v>149</v>
      </c>
      <c r="B83" s="238"/>
      <c r="C83" s="59">
        <f>SUM(C4:C82)</f>
        <v>1728</v>
      </c>
      <c r="D83" s="59">
        <f>SUM(D4:D82)</f>
        <v>8993</v>
      </c>
      <c r="E83" s="59">
        <f>SUM(E4:E82)</f>
        <v>27</v>
      </c>
      <c r="F83" s="59">
        <f t="shared" ref="F83:Z83" si="4">SUM(F4:F82)</f>
        <v>3407</v>
      </c>
      <c r="G83" s="59">
        <f t="shared" si="4"/>
        <v>2572</v>
      </c>
      <c r="H83" s="59">
        <f t="shared" si="4"/>
        <v>147</v>
      </c>
      <c r="I83" s="59">
        <f t="shared" si="4"/>
        <v>5091</v>
      </c>
      <c r="J83" s="59">
        <f t="shared" si="4"/>
        <v>1964</v>
      </c>
      <c r="K83" s="59">
        <f t="shared" si="4"/>
        <v>2219</v>
      </c>
      <c r="L83" s="59">
        <f t="shared" si="4"/>
        <v>23</v>
      </c>
      <c r="M83" s="59">
        <f t="shared" si="4"/>
        <v>303</v>
      </c>
      <c r="N83" s="59">
        <f t="shared" ref="N83:O83" si="5">SUM(N4:N82)</f>
        <v>6514</v>
      </c>
      <c r="O83" s="59">
        <f t="shared" si="5"/>
        <v>7610</v>
      </c>
      <c r="P83" s="59">
        <f t="shared" si="4"/>
        <v>6824</v>
      </c>
      <c r="Q83" s="59">
        <f>SUM(Q4:Q82)</f>
        <v>3077</v>
      </c>
      <c r="R83" s="59">
        <f t="shared" si="4"/>
        <v>3763</v>
      </c>
      <c r="S83" s="59">
        <f t="shared" si="4"/>
        <v>5</v>
      </c>
      <c r="T83" s="59">
        <f t="shared" ref="T83" si="6">SUM(T4:T82)</f>
        <v>4156</v>
      </c>
      <c r="U83" s="59">
        <f>SUM(U4:U82)</f>
        <v>20402</v>
      </c>
      <c r="V83" s="59">
        <f t="shared" si="4"/>
        <v>874</v>
      </c>
      <c r="W83" s="59">
        <f t="shared" si="4"/>
        <v>18600</v>
      </c>
      <c r="X83" s="59">
        <f t="shared" si="4"/>
        <v>29490</v>
      </c>
      <c r="Y83" s="59">
        <f t="shared" si="4"/>
        <v>175082</v>
      </c>
      <c r="Z83" s="59">
        <f t="shared" si="4"/>
        <v>19735</v>
      </c>
      <c r="AA83" s="59">
        <f>SUM(AA4:AA82)</f>
        <v>961457</v>
      </c>
      <c r="AB83" s="59">
        <f>SUM(AB4:AB82)</f>
        <v>1326999</v>
      </c>
      <c r="AC83" s="59">
        <f>SUM(AC4:AC82)</f>
        <v>-365542</v>
      </c>
      <c r="AD83" s="5"/>
    </row>
    <row r="84" spans="1:30" x14ac:dyDescent="0.2">
      <c r="B84" s="1" t="s">
        <v>305</v>
      </c>
      <c r="C84" s="5">
        <f>C82+C77+C73+C70+C62+C59+C53+C47+C41+C35+C33+C29+C25+C22+C20+C18</f>
        <v>1305</v>
      </c>
      <c r="D84" s="5">
        <f>D82+D77+D73+D70+D62+D59+D53+D47+D41+D35+D33+D29+D25+D22+D20+D18</f>
        <v>5184</v>
      </c>
      <c r="E84" s="5">
        <f>E82+E77+E73+E70+E62+E59+E53+E47+E41+E35+E33+E29+E25+E22+E20+E18</f>
        <v>27</v>
      </c>
      <c r="F84" s="5">
        <f t="shared" ref="F84:W84" si="7">F82+F77+F73+F70+F62+F59+F53+F47+F41+F35+F33+F29+F25+F22+F20+F18</f>
        <v>3407</v>
      </c>
      <c r="G84" s="5">
        <f t="shared" si="7"/>
        <v>2373</v>
      </c>
      <c r="H84" s="5">
        <f t="shared" si="7"/>
        <v>147</v>
      </c>
      <c r="I84" s="5">
        <f t="shared" si="7"/>
        <v>5091</v>
      </c>
      <c r="J84" s="5">
        <f t="shared" si="7"/>
        <v>1964</v>
      </c>
      <c r="K84" s="5">
        <f t="shared" si="7"/>
        <v>2219</v>
      </c>
      <c r="L84" s="5">
        <f t="shared" si="7"/>
        <v>23</v>
      </c>
      <c r="M84" s="5">
        <f t="shared" si="7"/>
        <v>303</v>
      </c>
      <c r="N84" s="5">
        <f t="shared" ref="N84:O84" si="8">N82+N77+N73+N70+N62+N59+N53+N47+N41+N35+N33+N29+N25+N22+N20+N18</f>
        <v>6514</v>
      </c>
      <c r="O84" s="5">
        <f t="shared" si="8"/>
        <v>7610</v>
      </c>
      <c r="P84" s="5">
        <f t="shared" si="7"/>
        <v>6824</v>
      </c>
      <c r="Q84" s="5">
        <f>Q82+Q77+Q73+Q70+Q62+Q59+Q53+Q47+Q41+Q35+Q33+Q29+Q25+Q22+Q20+Q18</f>
        <v>3077</v>
      </c>
      <c r="R84" s="5">
        <f t="shared" si="7"/>
        <v>3763</v>
      </c>
      <c r="S84" s="5">
        <f t="shared" si="7"/>
        <v>5</v>
      </c>
      <c r="T84" s="5">
        <f t="shared" ref="T84" si="9">T82+T77+T73+T70+T62+T59+T53+T47+T41+T35+T33+T29+T25+T22+T20+T18</f>
        <v>4156</v>
      </c>
      <c r="U84" s="5">
        <f>U82+U77+U73+U70+U62+U59+U53+U47+U41+U35+U33+U29+U25+U22+U20+U18</f>
        <v>20402</v>
      </c>
      <c r="V84" s="5">
        <f t="shared" si="7"/>
        <v>874</v>
      </c>
      <c r="W84" s="5">
        <f t="shared" si="7"/>
        <v>18600</v>
      </c>
      <c r="Y84" s="52"/>
      <c r="Z84" s="52" t="s">
        <v>392</v>
      </c>
      <c r="AA84" s="5">
        <f>KOOND!Q86</f>
        <v>1127000</v>
      </c>
      <c r="AB84" s="5"/>
      <c r="AD84" s="5"/>
    </row>
    <row r="85" spans="1:30" x14ac:dyDescent="0.2">
      <c r="Z85" s="1" t="s">
        <v>164</v>
      </c>
      <c r="AA85" s="5">
        <f>AA84-AA83</f>
        <v>165543</v>
      </c>
      <c r="AB85" s="5"/>
      <c r="AD85" s="5"/>
    </row>
    <row r="87" spans="1:30" x14ac:dyDescent="0.2">
      <c r="W87" s="52" t="s">
        <v>149</v>
      </c>
      <c r="X87" s="93"/>
      <c r="Y87" s="93"/>
      <c r="Z87" s="93"/>
      <c r="AA87" s="5"/>
    </row>
    <row r="88" spans="1:30" x14ac:dyDescent="0.2">
      <c r="B88" s="52" t="s">
        <v>332</v>
      </c>
      <c r="C88" s="5">
        <v>13520</v>
      </c>
      <c r="D88" s="5"/>
      <c r="E88" s="5">
        <v>15478</v>
      </c>
      <c r="F88" s="5">
        <v>6200</v>
      </c>
      <c r="G88" s="5">
        <v>3517</v>
      </c>
      <c r="H88" s="5">
        <v>328</v>
      </c>
      <c r="I88" s="5">
        <v>4984</v>
      </c>
      <c r="J88" s="5">
        <v>2285</v>
      </c>
      <c r="K88" s="5">
        <v>1437</v>
      </c>
      <c r="L88" s="5">
        <v>5</v>
      </c>
      <c r="M88" s="5">
        <v>560</v>
      </c>
      <c r="N88" s="5"/>
      <c r="O88" s="5"/>
      <c r="P88" s="5">
        <v>10660</v>
      </c>
      <c r="Q88" s="5"/>
      <c r="R88" s="5">
        <v>4371</v>
      </c>
      <c r="S88" s="5">
        <v>0</v>
      </c>
      <c r="T88" s="5">
        <v>10660</v>
      </c>
      <c r="U88" s="5">
        <v>9840</v>
      </c>
      <c r="V88" s="5">
        <v>1228</v>
      </c>
      <c r="W88" s="5">
        <f t="shared" ref="W88:W94" si="10">SUM(C88:V88)</f>
        <v>85073</v>
      </c>
      <c r="AA88" s="5"/>
    </row>
    <row r="89" spans="1:30" x14ac:dyDescent="0.2">
      <c r="B89" s="52" t="s">
        <v>331</v>
      </c>
      <c r="C89" s="5">
        <v>14270</v>
      </c>
      <c r="D89" s="5"/>
      <c r="E89" s="5">
        <v>15674</v>
      </c>
      <c r="F89" s="5">
        <v>13194</v>
      </c>
      <c r="G89" s="5">
        <v>3572</v>
      </c>
      <c r="H89" s="5">
        <v>275</v>
      </c>
      <c r="I89" s="5">
        <v>4775</v>
      </c>
      <c r="J89" s="5">
        <v>2139</v>
      </c>
      <c r="K89" s="5">
        <v>1469</v>
      </c>
      <c r="L89" s="5">
        <v>7</v>
      </c>
      <c r="M89" s="5">
        <v>552</v>
      </c>
      <c r="N89" s="5"/>
      <c r="O89" s="5"/>
      <c r="P89" s="5">
        <v>11264</v>
      </c>
      <c r="Q89" s="5"/>
      <c r="R89" s="5">
        <v>3501</v>
      </c>
      <c r="S89" s="5">
        <v>546</v>
      </c>
      <c r="T89" s="5">
        <v>5075</v>
      </c>
      <c r="U89" s="5">
        <v>9702</v>
      </c>
      <c r="V89" s="5">
        <v>1133</v>
      </c>
      <c r="W89" s="5">
        <f t="shared" si="10"/>
        <v>87148</v>
      </c>
      <c r="AA89" s="5"/>
    </row>
    <row r="90" spans="1:30" x14ac:dyDescent="0.2">
      <c r="B90" s="52" t="s">
        <v>341</v>
      </c>
      <c r="C90" s="5">
        <v>13897</v>
      </c>
      <c r="D90" s="5"/>
      <c r="E90" s="5">
        <v>0</v>
      </c>
      <c r="F90" s="5">
        <v>15785</v>
      </c>
      <c r="G90" s="5">
        <v>3266</v>
      </c>
      <c r="H90" s="5">
        <v>220</v>
      </c>
      <c r="I90" s="5">
        <v>4868</v>
      </c>
      <c r="J90" s="5">
        <v>2064</v>
      </c>
      <c r="K90" s="5">
        <v>1704</v>
      </c>
      <c r="L90" s="5">
        <v>22</v>
      </c>
      <c r="M90" s="5">
        <v>460</v>
      </c>
      <c r="N90" s="5"/>
      <c r="O90" s="5"/>
      <c r="P90" s="5">
        <v>11416</v>
      </c>
      <c r="Q90" s="5"/>
      <c r="R90" s="5">
        <v>3536</v>
      </c>
      <c r="S90" s="5">
        <v>440</v>
      </c>
      <c r="T90" s="5">
        <v>6294</v>
      </c>
      <c r="U90" s="5">
        <v>11220</v>
      </c>
      <c r="V90" s="5">
        <v>1135</v>
      </c>
      <c r="W90" s="5">
        <f t="shared" si="10"/>
        <v>76327</v>
      </c>
    </row>
    <row r="91" spans="1:30" x14ac:dyDescent="0.2">
      <c r="B91" s="1" t="s">
        <v>347</v>
      </c>
      <c r="C91" s="5">
        <v>13127</v>
      </c>
      <c r="D91" s="5"/>
      <c r="E91" s="5">
        <v>31</v>
      </c>
      <c r="F91" s="5">
        <v>2340</v>
      </c>
      <c r="G91" s="5">
        <v>3057</v>
      </c>
      <c r="H91" s="5">
        <v>215</v>
      </c>
      <c r="I91" s="5">
        <v>4588</v>
      </c>
      <c r="J91" s="5">
        <v>1982</v>
      </c>
      <c r="K91" s="5">
        <v>1519</v>
      </c>
      <c r="L91" s="5">
        <v>15</v>
      </c>
      <c r="M91" s="5">
        <v>407</v>
      </c>
      <c r="N91" s="5"/>
      <c r="O91" s="5"/>
      <c r="P91" s="5">
        <v>8726</v>
      </c>
      <c r="Q91" s="5"/>
      <c r="R91" s="5">
        <v>4080</v>
      </c>
      <c r="S91" s="5">
        <v>7</v>
      </c>
      <c r="T91" s="5">
        <v>4805</v>
      </c>
      <c r="U91" s="5">
        <v>9570</v>
      </c>
      <c r="V91" s="5">
        <v>1300</v>
      </c>
      <c r="W91" s="5">
        <f t="shared" si="10"/>
        <v>55769</v>
      </c>
    </row>
    <row r="92" spans="1:30" x14ac:dyDescent="0.2">
      <c r="B92" s="1" t="s">
        <v>363</v>
      </c>
      <c r="C92" s="5">
        <v>13138</v>
      </c>
      <c r="D92" s="5"/>
      <c r="E92" s="5">
        <v>41</v>
      </c>
      <c r="F92" s="5">
        <v>2897</v>
      </c>
      <c r="G92" s="5">
        <v>3526</v>
      </c>
      <c r="H92" s="5">
        <v>190</v>
      </c>
      <c r="I92" s="5">
        <v>4821</v>
      </c>
      <c r="J92" s="5">
        <v>2015</v>
      </c>
      <c r="K92" s="5">
        <v>1739</v>
      </c>
      <c r="L92" s="5">
        <v>8</v>
      </c>
      <c r="M92" s="5">
        <v>362</v>
      </c>
      <c r="N92" s="5"/>
      <c r="O92" s="5"/>
      <c r="P92" s="5">
        <v>12953</v>
      </c>
      <c r="Q92" s="5"/>
      <c r="R92" s="5">
        <v>4031</v>
      </c>
      <c r="S92" s="5">
        <v>20</v>
      </c>
      <c r="T92" s="5">
        <v>4481</v>
      </c>
      <c r="U92" s="5">
        <v>11774</v>
      </c>
      <c r="V92" s="5">
        <v>1442</v>
      </c>
      <c r="W92" s="5">
        <f t="shared" si="10"/>
        <v>63438</v>
      </c>
    </row>
    <row r="93" spans="1:30" x14ac:dyDescent="0.2">
      <c r="B93" s="1" t="s">
        <v>371</v>
      </c>
      <c r="C93" s="5">
        <v>2284</v>
      </c>
      <c r="D93" s="5">
        <v>9304</v>
      </c>
      <c r="E93" s="5">
        <v>41</v>
      </c>
      <c r="F93" s="5">
        <v>12907</v>
      </c>
      <c r="G93" s="5">
        <v>2962</v>
      </c>
      <c r="H93" s="5">
        <v>149</v>
      </c>
      <c r="I93" s="5">
        <v>5376</v>
      </c>
      <c r="J93" s="5">
        <v>1933</v>
      </c>
      <c r="K93" s="5">
        <v>2118</v>
      </c>
      <c r="L93" s="5">
        <v>22</v>
      </c>
      <c r="M93" s="5">
        <v>392</v>
      </c>
      <c r="N93" s="5">
        <v>8178</v>
      </c>
      <c r="O93" s="5"/>
      <c r="P93" s="5">
        <v>8280</v>
      </c>
      <c r="Q93" s="5">
        <v>11005</v>
      </c>
      <c r="R93" s="5">
        <v>4533</v>
      </c>
      <c r="S93" s="5">
        <v>4</v>
      </c>
      <c r="T93" s="5">
        <v>5486</v>
      </c>
      <c r="U93" s="5">
        <v>33848</v>
      </c>
      <c r="V93" s="5">
        <v>1187</v>
      </c>
      <c r="W93" s="5">
        <f t="shared" si="10"/>
        <v>110009</v>
      </c>
    </row>
    <row r="94" spans="1:30" x14ac:dyDescent="0.2">
      <c r="B94" s="1" t="s">
        <v>505</v>
      </c>
      <c r="C94" s="5">
        <f t="shared" ref="C94:V94" si="11">C83</f>
        <v>1728</v>
      </c>
      <c r="D94" s="5">
        <f t="shared" si="11"/>
        <v>8993</v>
      </c>
      <c r="E94" s="5">
        <f t="shared" si="11"/>
        <v>27</v>
      </c>
      <c r="F94" s="5">
        <f t="shared" si="11"/>
        <v>3407</v>
      </c>
      <c r="G94" s="5">
        <f t="shared" si="11"/>
        <v>2572</v>
      </c>
      <c r="H94" s="5">
        <f t="shared" si="11"/>
        <v>147</v>
      </c>
      <c r="I94" s="5">
        <f t="shared" si="11"/>
        <v>5091</v>
      </c>
      <c r="J94" s="5">
        <f t="shared" si="11"/>
        <v>1964</v>
      </c>
      <c r="K94" s="5">
        <f t="shared" si="11"/>
        <v>2219</v>
      </c>
      <c r="L94" s="5">
        <f t="shared" si="11"/>
        <v>23</v>
      </c>
      <c r="M94" s="5">
        <f t="shared" si="11"/>
        <v>303</v>
      </c>
      <c r="N94" s="5">
        <f t="shared" si="11"/>
        <v>6514</v>
      </c>
      <c r="O94" s="5">
        <f>O83</f>
        <v>7610</v>
      </c>
      <c r="P94" s="5">
        <f t="shared" si="11"/>
        <v>6824</v>
      </c>
      <c r="Q94" s="5">
        <f>Q83</f>
        <v>3077</v>
      </c>
      <c r="R94" s="5">
        <f t="shared" si="11"/>
        <v>3763</v>
      </c>
      <c r="S94" s="5">
        <f t="shared" si="11"/>
        <v>5</v>
      </c>
      <c r="T94" s="5">
        <f>T83</f>
        <v>4156</v>
      </c>
      <c r="U94" s="5">
        <f>U83</f>
        <v>20402</v>
      </c>
      <c r="V94" s="5">
        <f t="shared" si="11"/>
        <v>874</v>
      </c>
      <c r="W94" s="5">
        <f t="shared" si="10"/>
        <v>79699</v>
      </c>
    </row>
    <row r="95" spans="1:30" x14ac:dyDescent="0.2">
      <c r="B95" s="1" t="s">
        <v>191</v>
      </c>
      <c r="C95" s="79">
        <f>C94/C92-1</f>
        <v>-0.86847313137463844</v>
      </c>
      <c r="D95" s="79"/>
      <c r="E95" s="79">
        <f t="shared" ref="E95:W95" si="12">E94/E92-1</f>
        <v>-0.34146341463414631</v>
      </c>
      <c r="F95" s="79">
        <f t="shared" si="12"/>
        <v>0.17604418363824648</v>
      </c>
      <c r="G95" s="79">
        <f t="shared" si="12"/>
        <v>-0.27056154282473055</v>
      </c>
      <c r="H95" s="79">
        <f t="shared" si="12"/>
        <v>-0.22631578947368425</v>
      </c>
      <c r="I95" s="79">
        <f t="shared" si="12"/>
        <v>5.6004978220286272E-2</v>
      </c>
      <c r="J95" s="79">
        <f t="shared" si="12"/>
        <v>-2.531017369727051E-2</v>
      </c>
      <c r="K95" s="79">
        <f t="shared" si="12"/>
        <v>0.27602070155261638</v>
      </c>
      <c r="L95" s="79">
        <f t="shared" si="12"/>
        <v>1.875</v>
      </c>
      <c r="M95" s="79">
        <f t="shared" si="12"/>
        <v>-0.16298342541436461</v>
      </c>
      <c r="N95" s="79"/>
      <c r="O95" s="79"/>
      <c r="P95" s="79">
        <f t="shared" si="12"/>
        <v>-0.47317223809156184</v>
      </c>
      <c r="Q95" s="79"/>
      <c r="R95" s="79">
        <f t="shared" si="12"/>
        <v>-6.6484743239890842E-2</v>
      </c>
      <c r="S95" s="79">
        <f t="shared" si="12"/>
        <v>-0.75</v>
      </c>
      <c r="T95" s="79">
        <f>T94/T92-1</f>
        <v>-7.2528453470207532E-2</v>
      </c>
      <c r="U95" s="79">
        <f>U94/U92-1</f>
        <v>0.73280108714115855</v>
      </c>
      <c r="V95" s="79">
        <f t="shared" si="12"/>
        <v>-0.39389736477115123</v>
      </c>
      <c r="W95" s="79">
        <f t="shared" si="12"/>
        <v>0.25632901415555343</v>
      </c>
    </row>
  </sheetData>
  <mergeCells count="10">
    <mergeCell ref="A83:B83"/>
    <mergeCell ref="AB1:AB3"/>
    <mergeCell ref="AC1:AC3"/>
    <mergeCell ref="A1:A3"/>
    <mergeCell ref="B1:B3"/>
    <mergeCell ref="C1:V1"/>
    <mergeCell ref="W1:W3"/>
    <mergeCell ref="X1:X3"/>
    <mergeCell ref="AA1:AA3"/>
    <mergeCell ref="Y1:Z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4810-F232-44FF-9287-6F7DD9F24E3B}">
  <dimension ref="A1:O85"/>
  <sheetViews>
    <sheetView workbookViewId="0">
      <pane xSplit="2" ySplit="3" topLeftCell="C55" activePane="bottomRight" state="frozen"/>
      <selection pane="topRight" activeCell="D1" sqref="D1"/>
      <selection pane="bottomLeft" activeCell="A4" sqref="A4"/>
      <selection pane="bottomRight" activeCell="O86" sqref="O86"/>
    </sheetView>
  </sheetViews>
  <sheetFormatPr defaultColWidth="9.28515625" defaultRowHeight="12.75" x14ac:dyDescent="0.2"/>
  <cols>
    <col min="1" max="1" width="9.5703125" style="1" bestFit="1" customWidth="1"/>
    <col min="2" max="2" width="19.28515625" style="1" customWidth="1"/>
    <col min="3" max="3" width="11.7109375" style="1" customWidth="1"/>
    <col min="4" max="4" width="14" style="1" customWidth="1"/>
    <col min="5" max="5" width="7.42578125" style="1" bestFit="1" customWidth="1"/>
    <col min="6" max="6" width="14.7109375" style="1" customWidth="1"/>
    <col min="7" max="7" width="11.5703125" style="1" customWidth="1"/>
    <col min="8" max="8" width="7.5703125" style="1" customWidth="1"/>
    <col min="9" max="9" width="8.28515625" style="1" bestFit="1" customWidth="1"/>
    <col min="10" max="10" width="14" style="1" customWidth="1"/>
    <col min="11" max="11" width="10.5703125" style="1" customWidth="1"/>
    <col min="12" max="12" width="10.85546875" style="1" customWidth="1"/>
    <col min="13" max="13" width="9.28515625" style="1"/>
    <col min="14" max="14" width="11.28515625" style="1" customWidth="1"/>
    <col min="15" max="15" width="13.28515625" style="1" customWidth="1"/>
    <col min="16" max="16384" width="9.28515625" style="1"/>
  </cols>
  <sheetData>
    <row r="1" spans="1:15" ht="12.75" customHeight="1" x14ac:dyDescent="0.2">
      <c r="A1" s="189" t="s">
        <v>148</v>
      </c>
      <c r="B1" s="189" t="s">
        <v>147</v>
      </c>
      <c r="C1" s="246" t="s">
        <v>509</v>
      </c>
      <c r="D1" s="247"/>
      <c r="E1" s="189" t="s">
        <v>506</v>
      </c>
      <c r="F1" s="189"/>
      <c r="G1" s="190"/>
      <c r="H1" s="190"/>
      <c r="I1" s="190"/>
      <c r="J1" s="190"/>
      <c r="K1" s="187" t="s">
        <v>514</v>
      </c>
      <c r="L1" s="189" t="s">
        <v>510</v>
      </c>
      <c r="M1" s="189" t="s">
        <v>511</v>
      </c>
      <c r="N1" s="187" t="s">
        <v>515</v>
      </c>
      <c r="O1" s="189" t="s">
        <v>512</v>
      </c>
    </row>
    <row r="2" spans="1:15" ht="82.5" customHeight="1" x14ac:dyDescent="0.2">
      <c r="A2" s="189"/>
      <c r="B2" s="189"/>
      <c r="C2" s="85" t="s">
        <v>296</v>
      </c>
      <c r="D2" s="85" t="s">
        <v>342</v>
      </c>
      <c r="E2" s="85" t="s">
        <v>182</v>
      </c>
      <c r="F2" s="85" t="s">
        <v>372</v>
      </c>
      <c r="G2" s="85" t="s">
        <v>296</v>
      </c>
      <c r="H2" s="85" t="s">
        <v>186</v>
      </c>
      <c r="I2" s="85" t="s">
        <v>187</v>
      </c>
      <c r="J2" s="85" t="s">
        <v>342</v>
      </c>
      <c r="K2" s="242"/>
      <c r="L2" s="241"/>
      <c r="M2" s="241"/>
      <c r="N2" s="242"/>
      <c r="O2" s="241"/>
    </row>
    <row r="3" spans="1:15" ht="15" customHeight="1" x14ac:dyDescent="0.2">
      <c r="A3" s="189"/>
      <c r="B3" s="189"/>
      <c r="C3" s="163">
        <f>G3</f>
        <v>7.38</v>
      </c>
      <c r="D3" s="163">
        <f>J3</f>
        <v>11.49</v>
      </c>
      <c r="E3" s="162">
        <v>16.21</v>
      </c>
      <c r="F3" s="162">
        <v>4.42</v>
      </c>
      <c r="G3" s="163">
        <v>7.38</v>
      </c>
      <c r="H3" s="163">
        <v>61.88</v>
      </c>
      <c r="I3" s="163">
        <v>44.69</v>
      </c>
      <c r="J3" s="163">
        <v>11.49</v>
      </c>
      <c r="K3" s="242"/>
      <c r="L3" s="241"/>
      <c r="M3" s="241"/>
      <c r="N3" s="242"/>
      <c r="O3" s="241"/>
    </row>
    <row r="4" spans="1:15" x14ac:dyDescent="0.2">
      <c r="A4" s="20" t="s">
        <v>69</v>
      </c>
      <c r="B4" s="21" t="s">
        <v>138</v>
      </c>
      <c r="C4" s="10"/>
      <c r="D4" s="10"/>
      <c r="E4" s="10">
        <v>0</v>
      </c>
      <c r="F4" s="10">
        <v>2</v>
      </c>
      <c r="G4" s="10"/>
      <c r="H4" s="10"/>
      <c r="I4" s="10"/>
      <c r="J4" s="10"/>
      <c r="K4" s="10">
        <f>ROUND(E4*E$3+F4*F$3+G4*G$3+H4*H$3+I4*I$3+J4*J$3,0)</f>
        <v>9</v>
      </c>
      <c r="L4" s="10">
        <f>ROUND(C4*C$3+D4*D$3,0)</f>
        <v>0</v>
      </c>
      <c r="M4" s="10">
        <v>7</v>
      </c>
      <c r="N4" s="7">
        <f>IF(L4&gt;M4,M4,L4)</f>
        <v>0</v>
      </c>
      <c r="O4" s="10">
        <f>M4-N4</f>
        <v>7</v>
      </c>
    </row>
    <row r="5" spans="1:15" x14ac:dyDescent="0.2">
      <c r="A5" s="20" t="s">
        <v>69</v>
      </c>
      <c r="B5" s="21" t="s">
        <v>137</v>
      </c>
      <c r="C5" s="10"/>
      <c r="D5" s="10"/>
      <c r="E5" s="10">
        <v>0</v>
      </c>
      <c r="F5" s="10">
        <v>3</v>
      </c>
      <c r="G5" s="10"/>
      <c r="H5" s="10"/>
      <c r="I5" s="10"/>
      <c r="J5" s="10"/>
      <c r="K5" s="10">
        <f t="shared" ref="K5:K68" si="0">ROUND(E5*E$3+F5*F$3+G5*G$3+H5*H$3+I5*I$3+J5*J$3,0)</f>
        <v>13</v>
      </c>
      <c r="L5" s="10">
        <f t="shared" ref="L5:L68" si="1">ROUND(C5*C$3+D5*D$3,0)</f>
        <v>0</v>
      </c>
      <c r="M5" s="10">
        <v>17</v>
      </c>
      <c r="N5" s="7">
        <f t="shared" ref="N5:N68" si="2">IF(L5&gt;M5,M5,L5)</f>
        <v>0</v>
      </c>
      <c r="O5" s="10">
        <f t="shared" ref="O5:O68" si="3">M5-N5</f>
        <v>17</v>
      </c>
    </row>
    <row r="6" spans="1:15" x14ac:dyDescent="0.2">
      <c r="A6" s="20" t="s">
        <v>69</v>
      </c>
      <c r="B6" s="21" t="s">
        <v>136</v>
      </c>
      <c r="C6" s="10"/>
      <c r="D6" s="10"/>
      <c r="E6" s="10">
        <v>0</v>
      </c>
      <c r="F6" s="10">
        <v>2</v>
      </c>
      <c r="G6" s="10"/>
      <c r="H6" s="10"/>
      <c r="I6" s="10"/>
      <c r="J6" s="10"/>
      <c r="K6" s="10">
        <f t="shared" si="0"/>
        <v>9</v>
      </c>
      <c r="L6" s="10">
        <f t="shared" si="1"/>
        <v>0</v>
      </c>
      <c r="M6" s="10">
        <v>8</v>
      </c>
      <c r="N6" s="7">
        <f t="shared" si="2"/>
        <v>0</v>
      </c>
      <c r="O6" s="10">
        <f t="shared" si="3"/>
        <v>8</v>
      </c>
    </row>
    <row r="7" spans="1:15" x14ac:dyDescent="0.2">
      <c r="A7" s="20" t="s">
        <v>69</v>
      </c>
      <c r="B7" s="21" t="s">
        <v>81</v>
      </c>
      <c r="C7" s="10"/>
      <c r="D7" s="10"/>
      <c r="E7" s="10">
        <v>0</v>
      </c>
      <c r="F7" s="10">
        <v>1</v>
      </c>
      <c r="G7" s="10"/>
      <c r="H7" s="10"/>
      <c r="I7" s="10"/>
      <c r="J7" s="10"/>
      <c r="K7" s="10">
        <f t="shared" si="0"/>
        <v>4</v>
      </c>
      <c r="L7" s="10">
        <f t="shared" si="1"/>
        <v>0</v>
      </c>
      <c r="M7" s="10">
        <v>12</v>
      </c>
      <c r="N7" s="7">
        <f t="shared" si="2"/>
        <v>0</v>
      </c>
      <c r="O7" s="10">
        <f t="shared" si="3"/>
        <v>12</v>
      </c>
    </row>
    <row r="8" spans="1:15" x14ac:dyDescent="0.2">
      <c r="A8" s="20" t="s">
        <v>69</v>
      </c>
      <c r="B8" s="21" t="s">
        <v>135</v>
      </c>
      <c r="C8" s="10"/>
      <c r="D8" s="10"/>
      <c r="E8" s="10">
        <v>0</v>
      </c>
      <c r="F8" s="10">
        <v>1</v>
      </c>
      <c r="G8" s="10"/>
      <c r="H8" s="10"/>
      <c r="I8" s="10"/>
      <c r="J8" s="10"/>
      <c r="K8" s="10">
        <f t="shared" si="0"/>
        <v>4</v>
      </c>
      <c r="L8" s="10">
        <f t="shared" si="1"/>
        <v>0</v>
      </c>
      <c r="M8" s="10">
        <v>7</v>
      </c>
      <c r="N8" s="7">
        <f t="shared" si="2"/>
        <v>0</v>
      </c>
      <c r="O8" s="10">
        <f t="shared" si="3"/>
        <v>7</v>
      </c>
    </row>
    <row r="9" spans="1:15" x14ac:dyDescent="0.2">
      <c r="A9" s="20" t="s">
        <v>69</v>
      </c>
      <c r="B9" s="22" t="s">
        <v>134</v>
      </c>
      <c r="C9" s="10"/>
      <c r="D9" s="10"/>
      <c r="E9" s="10">
        <v>3</v>
      </c>
      <c r="F9" s="10">
        <v>0</v>
      </c>
      <c r="G9" s="10"/>
      <c r="H9" s="10"/>
      <c r="I9" s="10"/>
      <c r="J9" s="10"/>
      <c r="K9" s="10">
        <f t="shared" si="0"/>
        <v>49</v>
      </c>
      <c r="L9" s="10">
        <f t="shared" si="1"/>
        <v>0</v>
      </c>
      <c r="M9" s="10">
        <v>11</v>
      </c>
      <c r="N9" s="7">
        <f t="shared" si="2"/>
        <v>0</v>
      </c>
      <c r="O9" s="10">
        <f t="shared" si="3"/>
        <v>11</v>
      </c>
    </row>
    <row r="10" spans="1:15" x14ac:dyDescent="0.2">
      <c r="A10" s="20" t="s">
        <v>69</v>
      </c>
      <c r="B10" s="21" t="s">
        <v>133</v>
      </c>
      <c r="C10" s="10"/>
      <c r="D10" s="10"/>
      <c r="E10" s="10">
        <v>0</v>
      </c>
      <c r="F10" s="10">
        <v>2</v>
      </c>
      <c r="G10" s="10"/>
      <c r="H10" s="10"/>
      <c r="I10" s="10"/>
      <c r="J10" s="10"/>
      <c r="K10" s="10">
        <f t="shared" si="0"/>
        <v>9</v>
      </c>
      <c r="L10" s="10">
        <f t="shared" si="1"/>
        <v>0</v>
      </c>
      <c r="M10" s="10">
        <v>6</v>
      </c>
      <c r="N10" s="7">
        <f t="shared" si="2"/>
        <v>0</v>
      </c>
      <c r="O10" s="10">
        <f t="shared" si="3"/>
        <v>6</v>
      </c>
    </row>
    <row r="11" spans="1:15" x14ac:dyDescent="0.2">
      <c r="A11" s="20" t="s">
        <v>69</v>
      </c>
      <c r="B11" s="21" t="s">
        <v>83</v>
      </c>
      <c r="C11" s="10"/>
      <c r="D11" s="10"/>
      <c r="E11" s="10">
        <v>2</v>
      </c>
      <c r="F11" s="10">
        <v>1</v>
      </c>
      <c r="G11" s="10"/>
      <c r="H11" s="10"/>
      <c r="I11" s="10"/>
      <c r="J11" s="10"/>
      <c r="K11" s="10">
        <f t="shared" si="0"/>
        <v>37</v>
      </c>
      <c r="L11" s="10">
        <f t="shared" si="1"/>
        <v>0</v>
      </c>
      <c r="M11" s="10">
        <v>2</v>
      </c>
      <c r="N11" s="7">
        <f t="shared" si="2"/>
        <v>0</v>
      </c>
      <c r="O11" s="10">
        <f t="shared" si="3"/>
        <v>2</v>
      </c>
    </row>
    <row r="12" spans="1:15" x14ac:dyDescent="0.2">
      <c r="A12" s="20" t="s">
        <v>69</v>
      </c>
      <c r="B12" s="21" t="s">
        <v>231</v>
      </c>
      <c r="C12" s="10"/>
      <c r="D12" s="10"/>
      <c r="E12" s="10">
        <v>4</v>
      </c>
      <c r="F12" s="10">
        <v>5</v>
      </c>
      <c r="G12" s="10"/>
      <c r="H12" s="10"/>
      <c r="I12" s="10"/>
      <c r="J12" s="10"/>
      <c r="K12" s="10">
        <f t="shared" si="0"/>
        <v>87</v>
      </c>
      <c r="L12" s="10">
        <f t="shared" si="1"/>
        <v>0</v>
      </c>
      <c r="M12" s="10">
        <v>15</v>
      </c>
      <c r="N12" s="7">
        <f t="shared" si="2"/>
        <v>0</v>
      </c>
      <c r="O12" s="10">
        <f t="shared" si="3"/>
        <v>15</v>
      </c>
    </row>
    <row r="13" spans="1:15" x14ac:dyDescent="0.2">
      <c r="A13" s="20" t="s">
        <v>69</v>
      </c>
      <c r="B13" s="21" t="s">
        <v>68</v>
      </c>
      <c r="C13" s="10"/>
      <c r="D13" s="10"/>
      <c r="E13" s="10">
        <v>6</v>
      </c>
      <c r="F13" s="10">
        <v>6</v>
      </c>
      <c r="G13" s="10"/>
      <c r="H13" s="10"/>
      <c r="I13" s="10"/>
      <c r="J13" s="10"/>
      <c r="K13" s="10">
        <f t="shared" si="0"/>
        <v>124</v>
      </c>
      <c r="L13" s="10">
        <f t="shared" si="1"/>
        <v>0</v>
      </c>
      <c r="M13" s="10">
        <v>16</v>
      </c>
      <c r="N13" s="7">
        <f t="shared" si="2"/>
        <v>0</v>
      </c>
      <c r="O13" s="10">
        <f t="shared" si="3"/>
        <v>16</v>
      </c>
    </row>
    <row r="14" spans="1:15" x14ac:dyDescent="0.2">
      <c r="A14" s="20" t="s">
        <v>69</v>
      </c>
      <c r="B14" s="21" t="s">
        <v>132</v>
      </c>
      <c r="C14" s="10"/>
      <c r="D14" s="10"/>
      <c r="E14" s="10">
        <v>0</v>
      </c>
      <c r="F14" s="10">
        <v>0</v>
      </c>
      <c r="G14" s="10"/>
      <c r="H14" s="10"/>
      <c r="I14" s="10"/>
      <c r="J14" s="10"/>
      <c r="K14" s="10">
        <f t="shared" si="0"/>
        <v>0</v>
      </c>
      <c r="L14" s="10">
        <f t="shared" si="1"/>
        <v>0</v>
      </c>
      <c r="M14" s="10">
        <v>8</v>
      </c>
      <c r="N14" s="7">
        <f t="shared" si="2"/>
        <v>0</v>
      </c>
      <c r="O14" s="10">
        <f t="shared" si="3"/>
        <v>8</v>
      </c>
    </row>
    <row r="15" spans="1:15" x14ac:dyDescent="0.2">
      <c r="A15" s="20" t="s">
        <v>69</v>
      </c>
      <c r="B15" s="21" t="s">
        <v>131</v>
      </c>
      <c r="C15" s="10"/>
      <c r="D15" s="10"/>
      <c r="E15" s="10">
        <v>1</v>
      </c>
      <c r="F15" s="10">
        <v>7</v>
      </c>
      <c r="G15" s="10"/>
      <c r="H15" s="10"/>
      <c r="I15" s="10"/>
      <c r="J15" s="10"/>
      <c r="K15" s="10">
        <f t="shared" si="0"/>
        <v>47</v>
      </c>
      <c r="L15" s="10">
        <f t="shared" si="1"/>
        <v>0</v>
      </c>
      <c r="M15" s="10">
        <v>37</v>
      </c>
      <c r="N15" s="7">
        <f t="shared" si="2"/>
        <v>0</v>
      </c>
      <c r="O15" s="10">
        <f t="shared" si="3"/>
        <v>37</v>
      </c>
    </row>
    <row r="16" spans="1:15" x14ac:dyDescent="0.2">
      <c r="A16" s="20" t="s">
        <v>69</v>
      </c>
      <c r="B16" s="21" t="s">
        <v>130</v>
      </c>
      <c r="C16" s="10"/>
      <c r="D16" s="10"/>
      <c r="E16" s="10">
        <v>0</v>
      </c>
      <c r="F16" s="10">
        <v>1</v>
      </c>
      <c r="G16" s="10"/>
      <c r="H16" s="10"/>
      <c r="I16" s="10"/>
      <c r="J16" s="10"/>
      <c r="K16" s="10">
        <f t="shared" si="0"/>
        <v>4</v>
      </c>
      <c r="L16" s="10">
        <f t="shared" si="1"/>
        <v>0</v>
      </c>
      <c r="M16" s="10">
        <v>12</v>
      </c>
      <c r="N16" s="7">
        <f t="shared" si="2"/>
        <v>0</v>
      </c>
      <c r="O16" s="10">
        <f t="shared" si="3"/>
        <v>12</v>
      </c>
    </row>
    <row r="17" spans="1:15" x14ac:dyDescent="0.2">
      <c r="A17" s="20" t="s">
        <v>69</v>
      </c>
      <c r="B17" s="21" t="s">
        <v>129</v>
      </c>
      <c r="C17" s="10"/>
      <c r="D17" s="10"/>
      <c r="E17" s="10">
        <v>1</v>
      </c>
      <c r="F17" s="10">
        <v>4</v>
      </c>
      <c r="G17" s="10"/>
      <c r="H17" s="10"/>
      <c r="I17" s="10"/>
      <c r="J17" s="10"/>
      <c r="K17" s="10">
        <f t="shared" si="0"/>
        <v>34</v>
      </c>
      <c r="L17" s="10">
        <f t="shared" si="1"/>
        <v>0</v>
      </c>
      <c r="M17" s="10">
        <v>31</v>
      </c>
      <c r="N17" s="7">
        <f t="shared" si="2"/>
        <v>0</v>
      </c>
      <c r="O17" s="10">
        <f t="shared" si="3"/>
        <v>31</v>
      </c>
    </row>
    <row r="18" spans="1:15" x14ac:dyDescent="0.2">
      <c r="A18" s="20" t="s">
        <v>69</v>
      </c>
      <c r="B18" s="58" t="s">
        <v>213</v>
      </c>
      <c r="C18" s="10">
        <v>146</v>
      </c>
      <c r="D18" s="10">
        <v>522</v>
      </c>
      <c r="E18" s="10">
        <v>155</v>
      </c>
      <c r="F18" s="10">
        <v>135</v>
      </c>
      <c r="G18" s="10">
        <v>842</v>
      </c>
      <c r="H18" s="10">
        <v>200</v>
      </c>
      <c r="I18" s="10">
        <v>56</v>
      </c>
      <c r="J18" s="10">
        <v>3333</v>
      </c>
      <c r="K18" s="10">
        <f t="shared" si="0"/>
        <v>62498</v>
      </c>
      <c r="L18" s="10">
        <f t="shared" si="1"/>
        <v>7075</v>
      </c>
      <c r="M18" s="10">
        <v>13392</v>
      </c>
      <c r="N18" s="7">
        <f t="shared" si="2"/>
        <v>7075</v>
      </c>
      <c r="O18" s="10">
        <f t="shared" si="3"/>
        <v>6317</v>
      </c>
    </row>
    <row r="19" spans="1:15" x14ac:dyDescent="0.2">
      <c r="A19" s="20" t="s">
        <v>69</v>
      </c>
      <c r="B19" s="21" t="s">
        <v>128</v>
      </c>
      <c r="C19" s="10"/>
      <c r="D19" s="10"/>
      <c r="E19" s="10">
        <v>2</v>
      </c>
      <c r="F19" s="10">
        <v>3</v>
      </c>
      <c r="G19" s="10">
        <v>0</v>
      </c>
      <c r="H19" s="10">
        <v>0</v>
      </c>
      <c r="I19" s="10">
        <v>0</v>
      </c>
      <c r="J19" s="10">
        <v>0</v>
      </c>
      <c r="K19" s="10">
        <f t="shared" si="0"/>
        <v>46</v>
      </c>
      <c r="L19" s="10">
        <f t="shared" si="1"/>
        <v>0</v>
      </c>
      <c r="M19" s="10">
        <v>24</v>
      </c>
      <c r="N19" s="7">
        <f t="shared" si="2"/>
        <v>0</v>
      </c>
      <c r="O19" s="10">
        <f t="shared" si="3"/>
        <v>24</v>
      </c>
    </row>
    <row r="20" spans="1:15" x14ac:dyDescent="0.2">
      <c r="A20" s="20" t="s">
        <v>67</v>
      </c>
      <c r="B20" s="58" t="s">
        <v>217</v>
      </c>
      <c r="C20" s="10">
        <v>4</v>
      </c>
      <c r="D20" s="10">
        <v>0</v>
      </c>
      <c r="E20" s="10">
        <v>0</v>
      </c>
      <c r="F20" s="10">
        <v>0</v>
      </c>
      <c r="G20" s="10">
        <v>4</v>
      </c>
      <c r="H20" s="10">
        <v>0</v>
      </c>
      <c r="I20" s="10">
        <v>0</v>
      </c>
      <c r="J20" s="10">
        <v>1</v>
      </c>
      <c r="K20" s="10">
        <f t="shared" si="0"/>
        <v>41</v>
      </c>
      <c r="L20" s="10">
        <f t="shared" si="1"/>
        <v>30</v>
      </c>
      <c r="M20" s="10">
        <v>134</v>
      </c>
      <c r="N20" s="7">
        <f t="shared" si="2"/>
        <v>30</v>
      </c>
      <c r="O20" s="10">
        <f t="shared" si="3"/>
        <v>104</v>
      </c>
    </row>
    <row r="21" spans="1:15" x14ac:dyDescent="0.2">
      <c r="A21" s="20" t="s">
        <v>58</v>
      </c>
      <c r="B21" s="21" t="s">
        <v>218</v>
      </c>
      <c r="C21" s="10"/>
      <c r="D21" s="10"/>
      <c r="E21" s="10"/>
      <c r="F21" s="10"/>
      <c r="G21" s="10"/>
      <c r="H21" s="10"/>
      <c r="I21" s="10"/>
      <c r="J21" s="10"/>
      <c r="K21" s="10">
        <f t="shared" si="0"/>
        <v>0</v>
      </c>
      <c r="L21" s="10">
        <f t="shared" si="1"/>
        <v>0</v>
      </c>
      <c r="M21" s="10">
        <v>2</v>
      </c>
      <c r="N21" s="7">
        <f t="shared" si="2"/>
        <v>0</v>
      </c>
      <c r="O21" s="10">
        <f t="shared" si="3"/>
        <v>2</v>
      </c>
    </row>
    <row r="22" spans="1:15" x14ac:dyDescent="0.2">
      <c r="A22" s="20" t="s">
        <v>58</v>
      </c>
      <c r="B22" s="58" t="s">
        <v>127</v>
      </c>
      <c r="C22" s="10">
        <v>15</v>
      </c>
      <c r="D22" s="10">
        <v>178</v>
      </c>
      <c r="E22" s="10">
        <v>5</v>
      </c>
      <c r="F22" s="10">
        <v>6</v>
      </c>
      <c r="G22" s="10">
        <v>83</v>
      </c>
      <c r="H22" s="10">
        <v>16</v>
      </c>
      <c r="I22" s="10">
        <v>4</v>
      </c>
      <c r="J22" s="10">
        <v>424</v>
      </c>
      <c r="K22" s="10">
        <f t="shared" si="0"/>
        <v>6761</v>
      </c>
      <c r="L22" s="10">
        <f t="shared" si="1"/>
        <v>2156</v>
      </c>
      <c r="M22" s="10">
        <v>1671</v>
      </c>
      <c r="N22" s="7">
        <f t="shared" si="2"/>
        <v>1671</v>
      </c>
      <c r="O22" s="10">
        <f t="shared" si="3"/>
        <v>0</v>
      </c>
    </row>
    <row r="23" spans="1:15" x14ac:dyDescent="0.2">
      <c r="A23" s="20" t="s">
        <v>58</v>
      </c>
      <c r="B23" s="21" t="s">
        <v>57</v>
      </c>
      <c r="C23" s="10"/>
      <c r="D23" s="10"/>
      <c r="E23" s="10">
        <v>6</v>
      </c>
      <c r="F23" s="10">
        <v>7</v>
      </c>
      <c r="G23" s="10">
        <v>0</v>
      </c>
      <c r="H23" s="10">
        <v>0</v>
      </c>
      <c r="I23" s="10">
        <v>0</v>
      </c>
      <c r="J23" s="10">
        <v>0</v>
      </c>
      <c r="K23" s="10">
        <f t="shared" si="0"/>
        <v>128</v>
      </c>
      <c r="L23" s="10">
        <f t="shared" si="1"/>
        <v>0</v>
      </c>
      <c r="M23" s="10">
        <v>19</v>
      </c>
      <c r="N23" s="7">
        <f t="shared" si="2"/>
        <v>0</v>
      </c>
      <c r="O23" s="10">
        <f t="shared" si="3"/>
        <v>19</v>
      </c>
    </row>
    <row r="24" spans="1:15" x14ac:dyDescent="0.2">
      <c r="A24" s="20" t="s">
        <v>58</v>
      </c>
      <c r="B24" s="21" t="s">
        <v>126</v>
      </c>
      <c r="C24" s="10"/>
      <c r="D24" s="10"/>
      <c r="E24" s="10">
        <v>1</v>
      </c>
      <c r="F24" s="10">
        <v>2</v>
      </c>
      <c r="G24" s="10">
        <v>0</v>
      </c>
      <c r="H24" s="10">
        <v>0</v>
      </c>
      <c r="I24" s="10">
        <v>0</v>
      </c>
      <c r="J24" s="10">
        <v>0</v>
      </c>
      <c r="K24" s="10">
        <f t="shared" si="0"/>
        <v>25</v>
      </c>
      <c r="L24" s="10">
        <f t="shared" si="1"/>
        <v>0</v>
      </c>
      <c r="M24" s="10">
        <v>7</v>
      </c>
      <c r="N24" s="7">
        <f t="shared" si="2"/>
        <v>0</v>
      </c>
      <c r="O24" s="10">
        <f t="shared" si="3"/>
        <v>7</v>
      </c>
    </row>
    <row r="25" spans="1:15" x14ac:dyDescent="0.2">
      <c r="A25" s="20" t="s">
        <v>58</v>
      </c>
      <c r="B25" s="58" t="s">
        <v>59</v>
      </c>
      <c r="C25" s="10">
        <v>0</v>
      </c>
      <c r="D25" s="10">
        <v>47</v>
      </c>
      <c r="E25" s="10">
        <v>5</v>
      </c>
      <c r="F25" s="10">
        <v>9</v>
      </c>
      <c r="G25" s="10">
        <v>2</v>
      </c>
      <c r="H25" s="10">
        <v>20</v>
      </c>
      <c r="I25" s="10">
        <v>5</v>
      </c>
      <c r="J25" s="10">
        <v>1335</v>
      </c>
      <c r="K25" s="10">
        <f t="shared" si="0"/>
        <v>16936</v>
      </c>
      <c r="L25" s="10">
        <f t="shared" si="1"/>
        <v>540</v>
      </c>
      <c r="M25" s="10">
        <v>2401</v>
      </c>
      <c r="N25" s="7">
        <f t="shared" si="2"/>
        <v>540</v>
      </c>
      <c r="O25" s="10">
        <f t="shared" si="3"/>
        <v>1861</v>
      </c>
    </row>
    <row r="26" spans="1:15" x14ac:dyDescent="0.2">
      <c r="A26" s="20" t="s">
        <v>58</v>
      </c>
      <c r="B26" s="21" t="s">
        <v>62</v>
      </c>
      <c r="C26" s="10"/>
      <c r="D26" s="10"/>
      <c r="E26" s="10">
        <v>1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f t="shared" si="0"/>
        <v>16</v>
      </c>
      <c r="L26" s="10">
        <f t="shared" si="1"/>
        <v>0</v>
      </c>
      <c r="M26" s="10">
        <v>3</v>
      </c>
      <c r="N26" s="7">
        <f t="shared" si="2"/>
        <v>0</v>
      </c>
      <c r="O26" s="10">
        <f t="shared" si="3"/>
        <v>3</v>
      </c>
    </row>
    <row r="27" spans="1:15" x14ac:dyDescent="0.2">
      <c r="A27" s="20" t="s">
        <v>58</v>
      </c>
      <c r="B27" s="21" t="s">
        <v>61</v>
      </c>
      <c r="C27" s="10"/>
      <c r="D27" s="10"/>
      <c r="E27" s="10">
        <v>1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f t="shared" si="0"/>
        <v>16</v>
      </c>
      <c r="L27" s="10">
        <f t="shared" si="1"/>
        <v>0</v>
      </c>
      <c r="M27" s="10">
        <v>11</v>
      </c>
      <c r="N27" s="7">
        <f t="shared" si="2"/>
        <v>0</v>
      </c>
      <c r="O27" s="10">
        <f t="shared" si="3"/>
        <v>11</v>
      </c>
    </row>
    <row r="28" spans="1:15" x14ac:dyDescent="0.2">
      <c r="A28" s="20" t="s">
        <v>58</v>
      </c>
      <c r="B28" s="21" t="s">
        <v>64</v>
      </c>
      <c r="C28" s="10"/>
      <c r="D28" s="10"/>
      <c r="E28" s="10"/>
      <c r="F28" s="10"/>
      <c r="G28" s="10"/>
      <c r="H28" s="10"/>
      <c r="I28" s="10"/>
      <c r="J28" s="10"/>
      <c r="K28" s="10">
        <f t="shared" si="0"/>
        <v>0</v>
      </c>
      <c r="L28" s="10">
        <f t="shared" si="1"/>
        <v>0</v>
      </c>
      <c r="M28" s="10">
        <v>2</v>
      </c>
      <c r="N28" s="7">
        <f t="shared" si="2"/>
        <v>0</v>
      </c>
      <c r="O28" s="10">
        <f t="shared" si="3"/>
        <v>2</v>
      </c>
    </row>
    <row r="29" spans="1:15" x14ac:dyDescent="0.2">
      <c r="A29" s="20" t="s">
        <v>55</v>
      </c>
      <c r="B29" s="58" t="s">
        <v>125</v>
      </c>
      <c r="C29" s="10">
        <v>2</v>
      </c>
      <c r="D29" s="10">
        <v>8</v>
      </c>
      <c r="E29" s="10">
        <v>4</v>
      </c>
      <c r="F29" s="10">
        <v>0</v>
      </c>
      <c r="G29" s="10">
        <v>31</v>
      </c>
      <c r="H29" s="10">
        <v>1</v>
      </c>
      <c r="I29" s="10">
        <v>0</v>
      </c>
      <c r="J29" s="10">
        <v>30</v>
      </c>
      <c r="K29" s="10">
        <f t="shared" si="0"/>
        <v>700</v>
      </c>
      <c r="L29" s="10">
        <f t="shared" si="1"/>
        <v>107</v>
      </c>
      <c r="M29" s="10">
        <v>383</v>
      </c>
      <c r="N29" s="7">
        <f t="shared" si="2"/>
        <v>107</v>
      </c>
      <c r="O29" s="10">
        <f t="shared" si="3"/>
        <v>276</v>
      </c>
    </row>
    <row r="30" spans="1:15" x14ac:dyDescent="0.2">
      <c r="A30" s="20" t="s">
        <v>55</v>
      </c>
      <c r="B30" s="21" t="s">
        <v>219</v>
      </c>
      <c r="C30" s="10"/>
      <c r="D30" s="10"/>
      <c r="E30" s="10"/>
      <c r="F30" s="10"/>
      <c r="G30" s="10"/>
      <c r="H30" s="10"/>
      <c r="I30" s="10"/>
      <c r="J30" s="10"/>
      <c r="K30" s="10">
        <f t="shared" si="0"/>
        <v>0</v>
      </c>
      <c r="L30" s="10">
        <f t="shared" si="1"/>
        <v>0</v>
      </c>
      <c r="M30" s="10">
        <v>5</v>
      </c>
      <c r="N30" s="7">
        <f t="shared" si="2"/>
        <v>0</v>
      </c>
      <c r="O30" s="10">
        <f t="shared" si="3"/>
        <v>5</v>
      </c>
    </row>
    <row r="31" spans="1:15" x14ac:dyDescent="0.2">
      <c r="A31" s="20" t="s">
        <v>55</v>
      </c>
      <c r="B31" s="21" t="s">
        <v>124</v>
      </c>
      <c r="C31" s="10"/>
      <c r="D31" s="10"/>
      <c r="E31" s="10">
        <v>1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f t="shared" si="0"/>
        <v>21</v>
      </c>
      <c r="L31" s="10">
        <f t="shared" si="1"/>
        <v>0</v>
      </c>
      <c r="M31" s="10">
        <v>9</v>
      </c>
      <c r="N31" s="7">
        <f t="shared" si="2"/>
        <v>0</v>
      </c>
      <c r="O31" s="10">
        <f t="shared" si="3"/>
        <v>9</v>
      </c>
    </row>
    <row r="32" spans="1:15" x14ac:dyDescent="0.2">
      <c r="A32" s="20" t="s">
        <v>52</v>
      </c>
      <c r="B32" s="21" t="s">
        <v>220</v>
      </c>
      <c r="C32" s="10"/>
      <c r="D32" s="10"/>
      <c r="E32" s="10">
        <v>0</v>
      </c>
      <c r="F32" s="10">
        <v>1</v>
      </c>
      <c r="G32" s="10">
        <v>0</v>
      </c>
      <c r="H32" s="10">
        <v>0</v>
      </c>
      <c r="I32" s="10">
        <v>0</v>
      </c>
      <c r="J32" s="10">
        <v>0</v>
      </c>
      <c r="K32" s="10">
        <f t="shared" si="0"/>
        <v>4</v>
      </c>
      <c r="L32" s="10">
        <f t="shared" si="1"/>
        <v>0</v>
      </c>
      <c r="M32" s="10">
        <v>14</v>
      </c>
      <c r="N32" s="7">
        <f t="shared" si="2"/>
        <v>0</v>
      </c>
      <c r="O32" s="10">
        <f t="shared" si="3"/>
        <v>14</v>
      </c>
    </row>
    <row r="33" spans="1:15" x14ac:dyDescent="0.2">
      <c r="A33" s="20" t="s">
        <v>52</v>
      </c>
      <c r="B33" s="58" t="s">
        <v>51</v>
      </c>
      <c r="C33" s="10">
        <v>3</v>
      </c>
      <c r="D33" s="10">
        <v>7</v>
      </c>
      <c r="E33" s="10">
        <v>2</v>
      </c>
      <c r="F33" s="10">
        <v>9</v>
      </c>
      <c r="G33" s="10">
        <v>48</v>
      </c>
      <c r="H33" s="10">
        <v>5</v>
      </c>
      <c r="I33" s="10">
        <v>0</v>
      </c>
      <c r="J33" s="10">
        <v>67</v>
      </c>
      <c r="K33" s="10">
        <f t="shared" si="0"/>
        <v>1506</v>
      </c>
      <c r="L33" s="10">
        <f t="shared" si="1"/>
        <v>103</v>
      </c>
      <c r="M33" s="10">
        <v>311</v>
      </c>
      <c r="N33" s="7">
        <f t="shared" si="2"/>
        <v>103</v>
      </c>
      <c r="O33" s="10">
        <f t="shared" si="3"/>
        <v>208</v>
      </c>
    </row>
    <row r="34" spans="1:15" x14ac:dyDescent="0.2">
      <c r="A34" s="20" t="s">
        <v>52</v>
      </c>
      <c r="B34" s="21" t="s">
        <v>123</v>
      </c>
      <c r="C34" s="10"/>
      <c r="D34" s="10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f t="shared" si="0"/>
        <v>0</v>
      </c>
      <c r="L34" s="10">
        <f t="shared" si="1"/>
        <v>0</v>
      </c>
      <c r="M34" s="10">
        <v>16</v>
      </c>
      <c r="N34" s="7">
        <f t="shared" si="2"/>
        <v>0</v>
      </c>
      <c r="O34" s="10">
        <f t="shared" si="3"/>
        <v>16</v>
      </c>
    </row>
    <row r="35" spans="1:15" x14ac:dyDescent="0.2">
      <c r="A35" s="20" t="s">
        <v>47</v>
      </c>
      <c r="B35" s="58" t="s">
        <v>48</v>
      </c>
      <c r="C35" s="10">
        <v>7</v>
      </c>
      <c r="D35" s="10">
        <v>193</v>
      </c>
      <c r="E35" s="10">
        <v>3</v>
      </c>
      <c r="F35" s="10">
        <v>2</v>
      </c>
      <c r="G35" s="10">
        <v>11</v>
      </c>
      <c r="H35" s="10">
        <v>1</v>
      </c>
      <c r="I35" s="10">
        <v>0</v>
      </c>
      <c r="J35" s="10">
        <v>1051</v>
      </c>
      <c r="K35" s="10">
        <f t="shared" si="0"/>
        <v>12277</v>
      </c>
      <c r="L35" s="10">
        <f t="shared" si="1"/>
        <v>2269</v>
      </c>
      <c r="M35" s="10">
        <v>741</v>
      </c>
      <c r="N35" s="7">
        <f t="shared" si="2"/>
        <v>741</v>
      </c>
      <c r="O35" s="10">
        <f t="shared" si="3"/>
        <v>0</v>
      </c>
    </row>
    <row r="36" spans="1:15" x14ac:dyDescent="0.2">
      <c r="A36" s="20" t="s">
        <v>47</v>
      </c>
      <c r="B36" s="21" t="s">
        <v>122</v>
      </c>
      <c r="C36" s="10"/>
      <c r="D36" s="10"/>
      <c r="E36" s="10"/>
      <c r="F36" s="10"/>
      <c r="G36" s="10"/>
      <c r="H36" s="10"/>
      <c r="I36" s="10"/>
      <c r="J36" s="10"/>
      <c r="K36" s="10">
        <f t="shared" si="0"/>
        <v>0</v>
      </c>
      <c r="L36" s="10">
        <f t="shared" si="1"/>
        <v>0</v>
      </c>
      <c r="M36" s="10">
        <v>8</v>
      </c>
      <c r="N36" s="7">
        <f t="shared" si="2"/>
        <v>0</v>
      </c>
      <c r="O36" s="10">
        <f t="shared" si="3"/>
        <v>8</v>
      </c>
    </row>
    <row r="37" spans="1:15" x14ac:dyDescent="0.2">
      <c r="A37" s="20" t="s">
        <v>47</v>
      </c>
      <c r="B37" s="21" t="s">
        <v>121</v>
      </c>
      <c r="C37" s="10"/>
      <c r="D37" s="10"/>
      <c r="E37" s="10"/>
      <c r="F37" s="10"/>
      <c r="G37" s="10"/>
      <c r="H37" s="10"/>
      <c r="I37" s="10"/>
      <c r="J37" s="10"/>
      <c r="K37" s="10">
        <f t="shared" si="0"/>
        <v>0</v>
      </c>
      <c r="L37" s="10">
        <f t="shared" si="1"/>
        <v>0</v>
      </c>
      <c r="M37" s="10">
        <v>0</v>
      </c>
      <c r="N37" s="7">
        <f t="shared" si="2"/>
        <v>0</v>
      </c>
      <c r="O37" s="10">
        <f t="shared" si="3"/>
        <v>0</v>
      </c>
    </row>
    <row r="38" spans="1:15" x14ac:dyDescent="0.2">
      <c r="A38" s="20" t="s">
        <v>38</v>
      </c>
      <c r="B38" s="21" t="s">
        <v>120</v>
      </c>
      <c r="C38" s="10"/>
      <c r="D38" s="10"/>
      <c r="E38" s="10"/>
      <c r="F38" s="10"/>
      <c r="G38" s="10"/>
      <c r="H38" s="10"/>
      <c r="I38" s="10"/>
      <c r="J38" s="10"/>
      <c r="K38" s="10">
        <f t="shared" si="0"/>
        <v>0</v>
      </c>
      <c r="L38" s="10">
        <f t="shared" si="1"/>
        <v>0</v>
      </c>
      <c r="M38" s="10">
        <v>3</v>
      </c>
      <c r="N38" s="7">
        <f t="shared" si="2"/>
        <v>0</v>
      </c>
      <c r="O38" s="10">
        <f t="shared" si="3"/>
        <v>3</v>
      </c>
    </row>
    <row r="39" spans="1:15" x14ac:dyDescent="0.2">
      <c r="A39" s="20" t="s">
        <v>38</v>
      </c>
      <c r="B39" s="21" t="s">
        <v>119</v>
      </c>
      <c r="C39" s="10"/>
      <c r="D39" s="10"/>
      <c r="E39" s="10"/>
      <c r="F39" s="10"/>
      <c r="G39" s="10"/>
      <c r="H39" s="10"/>
      <c r="I39" s="10"/>
      <c r="J39" s="10"/>
      <c r="K39" s="10">
        <f t="shared" si="0"/>
        <v>0</v>
      </c>
      <c r="L39" s="10">
        <f t="shared" si="1"/>
        <v>0</v>
      </c>
      <c r="M39" s="10">
        <v>7</v>
      </c>
      <c r="N39" s="7">
        <f t="shared" si="2"/>
        <v>0</v>
      </c>
      <c r="O39" s="10">
        <f t="shared" si="3"/>
        <v>7</v>
      </c>
    </row>
    <row r="40" spans="1:15" x14ac:dyDescent="0.2">
      <c r="A40" s="20" t="s">
        <v>38</v>
      </c>
      <c r="B40" s="21" t="s">
        <v>118</v>
      </c>
      <c r="C40" s="10"/>
      <c r="D40" s="10"/>
      <c r="E40" s="10">
        <v>3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f t="shared" si="0"/>
        <v>53</v>
      </c>
      <c r="L40" s="10">
        <f t="shared" si="1"/>
        <v>0</v>
      </c>
      <c r="M40" s="10">
        <v>5</v>
      </c>
      <c r="N40" s="7">
        <f t="shared" si="2"/>
        <v>0</v>
      </c>
      <c r="O40" s="10">
        <f t="shared" si="3"/>
        <v>5</v>
      </c>
    </row>
    <row r="41" spans="1:15" x14ac:dyDescent="0.2">
      <c r="A41" s="20" t="s">
        <v>38</v>
      </c>
      <c r="B41" s="58" t="s">
        <v>37</v>
      </c>
      <c r="C41" s="10">
        <v>28</v>
      </c>
      <c r="D41" s="10">
        <v>121</v>
      </c>
      <c r="E41" s="10">
        <v>9</v>
      </c>
      <c r="F41" s="10">
        <v>1</v>
      </c>
      <c r="G41" s="10">
        <v>101</v>
      </c>
      <c r="H41" s="10">
        <v>16</v>
      </c>
      <c r="I41" s="10">
        <v>2</v>
      </c>
      <c r="J41" s="10">
        <v>218</v>
      </c>
      <c r="K41" s="10">
        <f t="shared" si="0"/>
        <v>4480</v>
      </c>
      <c r="L41" s="10">
        <f t="shared" si="1"/>
        <v>1597</v>
      </c>
      <c r="M41" s="10">
        <v>1053</v>
      </c>
      <c r="N41" s="7">
        <f t="shared" si="2"/>
        <v>1053</v>
      </c>
      <c r="O41" s="10">
        <f t="shared" si="3"/>
        <v>0</v>
      </c>
    </row>
    <row r="42" spans="1:15" x14ac:dyDescent="0.2">
      <c r="A42" s="20" t="s">
        <v>38</v>
      </c>
      <c r="B42" s="21" t="s">
        <v>117</v>
      </c>
      <c r="C42" s="10"/>
      <c r="D42" s="10"/>
      <c r="E42" s="10">
        <v>8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f t="shared" si="0"/>
        <v>143</v>
      </c>
      <c r="L42" s="10">
        <f t="shared" si="1"/>
        <v>0</v>
      </c>
      <c r="M42" s="10">
        <v>18</v>
      </c>
      <c r="N42" s="7">
        <f t="shared" si="2"/>
        <v>0</v>
      </c>
      <c r="O42" s="10">
        <f t="shared" si="3"/>
        <v>18</v>
      </c>
    </row>
    <row r="43" spans="1:15" x14ac:dyDescent="0.2">
      <c r="A43" s="20" t="s">
        <v>38</v>
      </c>
      <c r="B43" s="21" t="s">
        <v>116</v>
      </c>
      <c r="C43" s="10"/>
      <c r="D43" s="10"/>
      <c r="E43" s="10">
        <v>0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  <c r="K43" s="10">
        <f t="shared" si="0"/>
        <v>4</v>
      </c>
      <c r="L43" s="10">
        <f t="shared" si="1"/>
        <v>0</v>
      </c>
      <c r="M43" s="10">
        <v>10</v>
      </c>
      <c r="N43" s="7">
        <f t="shared" si="2"/>
        <v>0</v>
      </c>
      <c r="O43" s="10">
        <f t="shared" si="3"/>
        <v>10</v>
      </c>
    </row>
    <row r="44" spans="1:15" x14ac:dyDescent="0.2">
      <c r="A44" s="20" t="s">
        <v>38</v>
      </c>
      <c r="B44" s="21" t="s">
        <v>115</v>
      </c>
      <c r="C44" s="10"/>
      <c r="D44" s="10"/>
      <c r="E44" s="10"/>
      <c r="F44" s="10"/>
      <c r="G44" s="10"/>
      <c r="H44" s="10"/>
      <c r="I44" s="10"/>
      <c r="J44" s="10"/>
      <c r="K44" s="10">
        <f t="shared" si="0"/>
        <v>0</v>
      </c>
      <c r="L44" s="10">
        <f t="shared" si="1"/>
        <v>0</v>
      </c>
      <c r="M44" s="10">
        <v>6</v>
      </c>
      <c r="N44" s="7">
        <f t="shared" si="2"/>
        <v>0</v>
      </c>
      <c r="O44" s="10">
        <f t="shared" si="3"/>
        <v>6</v>
      </c>
    </row>
    <row r="45" spans="1:15" x14ac:dyDescent="0.2">
      <c r="A45" s="20" t="s">
        <v>38</v>
      </c>
      <c r="B45" s="21" t="s">
        <v>114</v>
      </c>
      <c r="C45" s="10"/>
      <c r="D45" s="10"/>
      <c r="E45" s="10">
        <v>0</v>
      </c>
      <c r="F45" s="10">
        <v>2</v>
      </c>
      <c r="G45" s="10">
        <v>0</v>
      </c>
      <c r="H45" s="10">
        <v>0</v>
      </c>
      <c r="I45" s="10">
        <v>0</v>
      </c>
      <c r="J45" s="10">
        <v>0</v>
      </c>
      <c r="K45" s="10">
        <f t="shared" si="0"/>
        <v>9</v>
      </c>
      <c r="L45" s="10">
        <f t="shared" si="1"/>
        <v>0</v>
      </c>
      <c r="M45" s="10">
        <v>6</v>
      </c>
      <c r="N45" s="7">
        <f t="shared" si="2"/>
        <v>0</v>
      </c>
      <c r="O45" s="10">
        <f t="shared" si="3"/>
        <v>6</v>
      </c>
    </row>
    <row r="46" spans="1:15" x14ac:dyDescent="0.2">
      <c r="A46" s="20" t="s">
        <v>35</v>
      </c>
      <c r="B46" s="21" t="s">
        <v>113</v>
      </c>
      <c r="C46" s="10"/>
      <c r="D46" s="10"/>
      <c r="E46" s="10">
        <v>0</v>
      </c>
      <c r="F46" s="10">
        <v>1</v>
      </c>
      <c r="G46" s="10">
        <v>0</v>
      </c>
      <c r="H46" s="10">
        <v>0</v>
      </c>
      <c r="I46" s="10">
        <v>0</v>
      </c>
      <c r="J46" s="10">
        <v>0</v>
      </c>
      <c r="K46" s="10">
        <f t="shared" si="0"/>
        <v>4</v>
      </c>
      <c r="L46" s="10">
        <f t="shared" si="1"/>
        <v>0</v>
      </c>
      <c r="M46" s="10">
        <v>8</v>
      </c>
      <c r="N46" s="7">
        <f t="shared" si="2"/>
        <v>0</v>
      </c>
      <c r="O46" s="10">
        <f t="shared" si="3"/>
        <v>8</v>
      </c>
    </row>
    <row r="47" spans="1:15" x14ac:dyDescent="0.2">
      <c r="A47" s="20" t="s">
        <v>35</v>
      </c>
      <c r="B47" s="58" t="s">
        <v>112</v>
      </c>
      <c r="C47" s="10">
        <v>1</v>
      </c>
      <c r="D47" s="10">
        <v>439</v>
      </c>
      <c r="E47" s="10">
        <v>1</v>
      </c>
      <c r="F47" s="10">
        <v>0</v>
      </c>
      <c r="G47" s="10">
        <v>16</v>
      </c>
      <c r="H47" s="10">
        <v>1</v>
      </c>
      <c r="I47" s="10">
        <v>1</v>
      </c>
      <c r="J47" s="10">
        <v>1434</v>
      </c>
      <c r="K47" s="10">
        <f t="shared" si="0"/>
        <v>16718</v>
      </c>
      <c r="L47" s="10">
        <f t="shared" si="1"/>
        <v>5051</v>
      </c>
      <c r="M47" s="10">
        <v>680</v>
      </c>
      <c r="N47" s="7">
        <f t="shared" si="2"/>
        <v>680</v>
      </c>
      <c r="O47" s="10">
        <f t="shared" si="3"/>
        <v>0</v>
      </c>
    </row>
    <row r="48" spans="1:15" x14ac:dyDescent="0.2">
      <c r="A48" s="20" t="s">
        <v>35</v>
      </c>
      <c r="B48" s="21" t="s">
        <v>111</v>
      </c>
      <c r="C48" s="10"/>
      <c r="D48" s="10"/>
      <c r="E48" s="10">
        <v>0</v>
      </c>
      <c r="F48" s="10">
        <v>2</v>
      </c>
      <c r="G48" s="10">
        <v>0</v>
      </c>
      <c r="H48" s="10">
        <v>0</v>
      </c>
      <c r="I48" s="10">
        <v>0</v>
      </c>
      <c r="J48" s="10">
        <v>0</v>
      </c>
      <c r="K48" s="10">
        <f t="shared" si="0"/>
        <v>9</v>
      </c>
      <c r="L48" s="10">
        <f t="shared" si="1"/>
        <v>0</v>
      </c>
      <c r="M48" s="10">
        <v>6</v>
      </c>
      <c r="N48" s="7">
        <f t="shared" si="2"/>
        <v>0</v>
      </c>
      <c r="O48" s="10">
        <f t="shared" si="3"/>
        <v>6</v>
      </c>
    </row>
    <row r="49" spans="1:15" x14ac:dyDescent="0.2">
      <c r="A49" s="20" t="s">
        <v>28</v>
      </c>
      <c r="B49" s="21" t="s">
        <v>110</v>
      </c>
      <c r="C49" s="10"/>
      <c r="D49" s="10"/>
      <c r="E49" s="10">
        <v>0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f t="shared" si="0"/>
        <v>4</v>
      </c>
      <c r="L49" s="10">
        <f t="shared" si="1"/>
        <v>0</v>
      </c>
      <c r="M49" s="10">
        <v>6</v>
      </c>
      <c r="N49" s="7">
        <f t="shared" si="2"/>
        <v>0</v>
      </c>
      <c r="O49" s="10">
        <f t="shared" si="3"/>
        <v>6</v>
      </c>
    </row>
    <row r="50" spans="1:15" x14ac:dyDescent="0.2">
      <c r="A50" s="20" t="s">
        <v>28</v>
      </c>
      <c r="B50" s="21" t="s">
        <v>109</v>
      </c>
      <c r="C50" s="10"/>
      <c r="D50" s="10"/>
      <c r="E50" s="10"/>
      <c r="F50" s="10"/>
      <c r="G50" s="10"/>
      <c r="H50" s="10"/>
      <c r="I50" s="10"/>
      <c r="J50" s="10"/>
      <c r="K50" s="10">
        <f t="shared" si="0"/>
        <v>0</v>
      </c>
      <c r="L50" s="10">
        <f t="shared" si="1"/>
        <v>0</v>
      </c>
      <c r="M50" s="10">
        <v>1</v>
      </c>
      <c r="N50" s="7">
        <f t="shared" si="2"/>
        <v>0</v>
      </c>
      <c r="O50" s="10">
        <f t="shared" si="3"/>
        <v>1</v>
      </c>
    </row>
    <row r="51" spans="1:15" x14ac:dyDescent="0.2">
      <c r="A51" s="20" t="s">
        <v>28</v>
      </c>
      <c r="B51" s="21" t="s">
        <v>221</v>
      </c>
      <c r="C51" s="10"/>
      <c r="D51" s="10"/>
      <c r="E51" s="10">
        <v>1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f t="shared" si="0"/>
        <v>16</v>
      </c>
      <c r="L51" s="10">
        <f t="shared" si="1"/>
        <v>0</v>
      </c>
      <c r="M51" s="10">
        <v>6</v>
      </c>
      <c r="N51" s="7">
        <f t="shared" si="2"/>
        <v>0</v>
      </c>
      <c r="O51" s="10">
        <f t="shared" si="3"/>
        <v>6</v>
      </c>
    </row>
    <row r="52" spans="1:15" x14ac:dyDescent="0.2">
      <c r="A52" s="20" t="s">
        <v>28</v>
      </c>
      <c r="B52" s="21" t="s">
        <v>222</v>
      </c>
      <c r="C52" s="10"/>
      <c r="D52" s="10"/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f t="shared" si="0"/>
        <v>16</v>
      </c>
      <c r="L52" s="10">
        <f t="shared" si="1"/>
        <v>0</v>
      </c>
      <c r="M52" s="10">
        <v>10</v>
      </c>
      <c r="N52" s="7">
        <f t="shared" si="2"/>
        <v>0</v>
      </c>
      <c r="O52" s="10">
        <f t="shared" si="3"/>
        <v>10</v>
      </c>
    </row>
    <row r="53" spans="1:15" x14ac:dyDescent="0.2">
      <c r="A53" s="20" t="s">
        <v>28</v>
      </c>
      <c r="B53" s="58" t="s">
        <v>30</v>
      </c>
      <c r="C53" s="10">
        <v>5</v>
      </c>
      <c r="D53" s="10">
        <v>169</v>
      </c>
      <c r="E53" s="10">
        <v>15</v>
      </c>
      <c r="F53" s="10">
        <v>10</v>
      </c>
      <c r="G53" s="10">
        <v>87</v>
      </c>
      <c r="H53" s="10">
        <v>15</v>
      </c>
      <c r="I53" s="10">
        <v>2</v>
      </c>
      <c r="J53" s="10">
        <v>339</v>
      </c>
      <c r="K53" s="10">
        <f t="shared" si="0"/>
        <v>5842</v>
      </c>
      <c r="L53" s="10">
        <f t="shared" si="1"/>
        <v>1979</v>
      </c>
      <c r="M53" s="10">
        <v>1768</v>
      </c>
      <c r="N53" s="7">
        <f t="shared" si="2"/>
        <v>1768</v>
      </c>
      <c r="O53" s="10">
        <f t="shared" si="3"/>
        <v>0</v>
      </c>
    </row>
    <row r="54" spans="1:15" x14ac:dyDescent="0.2">
      <c r="A54" s="20" t="s">
        <v>28</v>
      </c>
      <c r="B54" s="21" t="s">
        <v>108</v>
      </c>
      <c r="C54" s="10"/>
      <c r="D54" s="10"/>
      <c r="E54" s="10">
        <v>3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f t="shared" si="0"/>
        <v>49</v>
      </c>
      <c r="L54" s="10">
        <f t="shared" si="1"/>
        <v>0</v>
      </c>
      <c r="M54" s="10">
        <v>5</v>
      </c>
      <c r="N54" s="7">
        <f t="shared" si="2"/>
        <v>0</v>
      </c>
      <c r="O54" s="10">
        <f t="shared" si="3"/>
        <v>5</v>
      </c>
    </row>
    <row r="55" spans="1:15" x14ac:dyDescent="0.2">
      <c r="A55" s="20" t="s">
        <v>28</v>
      </c>
      <c r="B55" s="21" t="s">
        <v>107</v>
      </c>
      <c r="C55" s="10"/>
      <c r="D55" s="10"/>
      <c r="E55" s="10"/>
      <c r="F55" s="10"/>
      <c r="G55" s="10"/>
      <c r="H55" s="10"/>
      <c r="I55" s="10"/>
      <c r="J55" s="10"/>
      <c r="K55" s="10">
        <f t="shared" si="0"/>
        <v>0</v>
      </c>
      <c r="L55" s="10">
        <f t="shared" si="1"/>
        <v>0</v>
      </c>
      <c r="M55" s="10">
        <v>17</v>
      </c>
      <c r="N55" s="7">
        <f t="shared" si="2"/>
        <v>0</v>
      </c>
      <c r="O55" s="10">
        <f t="shared" si="3"/>
        <v>17</v>
      </c>
    </row>
    <row r="56" spans="1:15" x14ac:dyDescent="0.2">
      <c r="A56" s="20" t="s">
        <v>24</v>
      </c>
      <c r="B56" s="21" t="s">
        <v>106</v>
      </c>
      <c r="C56" s="10"/>
      <c r="D56" s="10"/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f t="shared" si="0"/>
        <v>16</v>
      </c>
      <c r="L56" s="10">
        <f t="shared" si="1"/>
        <v>0</v>
      </c>
      <c r="M56" s="10">
        <v>6</v>
      </c>
      <c r="N56" s="7">
        <f t="shared" si="2"/>
        <v>0</v>
      </c>
      <c r="O56" s="10">
        <f t="shared" si="3"/>
        <v>6</v>
      </c>
    </row>
    <row r="57" spans="1:15" x14ac:dyDescent="0.2">
      <c r="A57" s="20" t="s">
        <v>24</v>
      </c>
      <c r="B57" s="21" t="s">
        <v>105</v>
      </c>
      <c r="C57" s="10"/>
      <c r="D57" s="10"/>
      <c r="E57" s="10">
        <v>0</v>
      </c>
      <c r="F57" s="10">
        <v>3</v>
      </c>
      <c r="G57" s="10">
        <v>0</v>
      </c>
      <c r="H57" s="10">
        <v>0</v>
      </c>
      <c r="I57" s="10">
        <v>0</v>
      </c>
      <c r="J57" s="10">
        <v>0</v>
      </c>
      <c r="K57" s="10">
        <f t="shared" si="0"/>
        <v>13</v>
      </c>
      <c r="L57" s="10">
        <f t="shared" si="1"/>
        <v>0</v>
      </c>
      <c r="M57" s="10">
        <v>10</v>
      </c>
      <c r="N57" s="7">
        <f t="shared" si="2"/>
        <v>0</v>
      </c>
      <c r="O57" s="10">
        <f t="shared" si="3"/>
        <v>10</v>
      </c>
    </row>
    <row r="58" spans="1:15" x14ac:dyDescent="0.2">
      <c r="A58" s="20" t="s">
        <v>24</v>
      </c>
      <c r="B58" s="21" t="s">
        <v>104</v>
      </c>
      <c r="C58" s="10"/>
      <c r="D58" s="10"/>
      <c r="E58" s="10"/>
      <c r="F58" s="10"/>
      <c r="G58" s="10"/>
      <c r="H58" s="10"/>
      <c r="I58" s="10"/>
      <c r="J58" s="10"/>
      <c r="K58" s="10">
        <f t="shared" si="0"/>
        <v>0</v>
      </c>
      <c r="L58" s="10">
        <f t="shared" si="1"/>
        <v>0</v>
      </c>
      <c r="M58" s="10">
        <v>10</v>
      </c>
      <c r="N58" s="7">
        <f t="shared" si="2"/>
        <v>0</v>
      </c>
      <c r="O58" s="10">
        <f t="shared" si="3"/>
        <v>10</v>
      </c>
    </row>
    <row r="59" spans="1:15" x14ac:dyDescent="0.2">
      <c r="A59" s="20" t="s">
        <v>24</v>
      </c>
      <c r="B59" s="58" t="s">
        <v>103</v>
      </c>
      <c r="C59" s="10">
        <v>4</v>
      </c>
      <c r="D59" s="10">
        <v>241</v>
      </c>
      <c r="E59" s="10">
        <v>2</v>
      </c>
      <c r="F59" s="10">
        <v>0</v>
      </c>
      <c r="G59" s="10">
        <v>17</v>
      </c>
      <c r="H59" s="10">
        <v>0</v>
      </c>
      <c r="I59" s="10">
        <v>0</v>
      </c>
      <c r="J59" s="10">
        <v>1159</v>
      </c>
      <c r="K59" s="10">
        <f t="shared" si="0"/>
        <v>13475</v>
      </c>
      <c r="L59" s="10">
        <f t="shared" si="1"/>
        <v>2799</v>
      </c>
      <c r="M59" s="10">
        <v>760</v>
      </c>
      <c r="N59" s="7">
        <f t="shared" si="2"/>
        <v>760</v>
      </c>
      <c r="O59" s="10">
        <f t="shared" si="3"/>
        <v>0</v>
      </c>
    </row>
    <row r="60" spans="1:15" x14ac:dyDescent="0.2">
      <c r="A60" s="20" t="s">
        <v>20</v>
      </c>
      <c r="B60" s="21" t="s">
        <v>102</v>
      </c>
      <c r="C60" s="10"/>
      <c r="D60" s="10"/>
      <c r="E60" s="10"/>
      <c r="F60" s="10"/>
      <c r="G60" s="10"/>
      <c r="H60" s="10"/>
      <c r="I60" s="10"/>
      <c r="J60" s="10"/>
      <c r="K60" s="10">
        <f t="shared" si="0"/>
        <v>0</v>
      </c>
      <c r="L60" s="10">
        <f t="shared" si="1"/>
        <v>0</v>
      </c>
      <c r="M60" s="10">
        <v>3</v>
      </c>
      <c r="N60" s="7">
        <f t="shared" si="2"/>
        <v>0</v>
      </c>
      <c r="O60" s="10">
        <f t="shared" si="3"/>
        <v>3</v>
      </c>
    </row>
    <row r="61" spans="1:15" x14ac:dyDescent="0.2">
      <c r="A61" s="23" t="s">
        <v>20</v>
      </c>
      <c r="B61" s="21" t="s">
        <v>101</v>
      </c>
      <c r="C61" s="10"/>
      <c r="D61" s="10"/>
      <c r="E61" s="10"/>
      <c r="F61" s="10"/>
      <c r="G61" s="10"/>
      <c r="H61" s="10"/>
      <c r="I61" s="10"/>
      <c r="J61" s="10"/>
      <c r="K61" s="10">
        <f t="shared" si="0"/>
        <v>0</v>
      </c>
      <c r="L61" s="10">
        <f t="shared" si="1"/>
        <v>0</v>
      </c>
      <c r="M61" s="10">
        <v>0</v>
      </c>
      <c r="N61" s="7">
        <f t="shared" si="2"/>
        <v>0</v>
      </c>
      <c r="O61" s="10">
        <f t="shared" si="3"/>
        <v>0</v>
      </c>
    </row>
    <row r="62" spans="1:15" x14ac:dyDescent="0.2">
      <c r="A62" s="23" t="s">
        <v>20</v>
      </c>
      <c r="B62" s="58" t="s">
        <v>223</v>
      </c>
      <c r="C62" s="10">
        <v>3</v>
      </c>
      <c r="D62" s="10">
        <v>16</v>
      </c>
      <c r="E62" s="10">
        <v>3</v>
      </c>
      <c r="F62" s="10">
        <v>4</v>
      </c>
      <c r="G62" s="10">
        <v>21</v>
      </c>
      <c r="H62" s="10">
        <v>5</v>
      </c>
      <c r="I62" s="10">
        <v>1</v>
      </c>
      <c r="J62" s="10">
        <v>34</v>
      </c>
      <c r="K62" s="10">
        <f t="shared" si="0"/>
        <v>966</v>
      </c>
      <c r="L62" s="10">
        <f t="shared" si="1"/>
        <v>206</v>
      </c>
      <c r="M62" s="10">
        <v>520</v>
      </c>
      <c r="N62" s="7">
        <f t="shared" si="2"/>
        <v>206</v>
      </c>
      <c r="O62" s="10">
        <f t="shared" si="3"/>
        <v>314</v>
      </c>
    </row>
    <row r="63" spans="1:15" x14ac:dyDescent="0.2">
      <c r="A63" s="20" t="s">
        <v>13</v>
      </c>
      <c r="B63" s="21" t="s">
        <v>224</v>
      </c>
      <c r="C63" s="10"/>
      <c r="D63" s="10"/>
      <c r="E63" s="10">
        <v>0</v>
      </c>
      <c r="F63" s="10">
        <v>2</v>
      </c>
      <c r="G63" s="10">
        <v>0</v>
      </c>
      <c r="H63" s="10">
        <v>0</v>
      </c>
      <c r="I63" s="10">
        <v>0</v>
      </c>
      <c r="J63" s="10">
        <v>0</v>
      </c>
      <c r="K63" s="10">
        <f t="shared" si="0"/>
        <v>9</v>
      </c>
      <c r="L63" s="10">
        <f t="shared" si="1"/>
        <v>0</v>
      </c>
      <c r="M63" s="10">
        <v>17</v>
      </c>
      <c r="N63" s="7">
        <f t="shared" si="2"/>
        <v>0</v>
      </c>
      <c r="O63" s="10">
        <f t="shared" si="3"/>
        <v>17</v>
      </c>
    </row>
    <row r="64" spans="1:15" x14ac:dyDescent="0.2">
      <c r="A64" s="20" t="s">
        <v>13</v>
      </c>
      <c r="B64" s="21" t="s">
        <v>100</v>
      </c>
      <c r="C64" s="10"/>
      <c r="D64" s="10"/>
      <c r="E64" s="10">
        <v>1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f t="shared" si="0"/>
        <v>16</v>
      </c>
      <c r="L64" s="10">
        <f t="shared" si="1"/>
        <v>0</v>
      </c>
      <c r="M64" s="10">
        <v>18</v>
      </c>
      <c r="N64" s="7">
        <f t="shared" si="2"/>
        <v>0</v>
      </c>
      <c r="O64" s="10">
        <f t="shared" si="3"/>
        <v>18</v>
      </c>
    </row>
    <row r="65" spans="1:15" x14ac:dyDescent="0.2">
      <c r="A65" s="20" t="s">
        <v>13</v>
      </c>
      <c r="B65" s="21" t="s">
        <v>225</v>
      </c>
      <c r="C65" s="10"/>
      <c r="D65" s="10"/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f t="shared" si="0"/>
        <v>0</v>
      </c>
      <c r="L65" s="10">
        <f t="shared" si="1"/>
        <v>0</v>
      </c>
      <c r="M65" s="10">
        <v>11</v>
      </c>
      <c r="N65" s="7">
        <f t="shared" si="2"/>
        <v>0</v>
      </c>
      <c r="O65" s="10">
        <f t="shared" si="3"/>
        <v>11</v>
      </c>
    </row>
    <row r="66" spans="1:15" x14ac:dyDescent="0.2">
      <c r="A66" s="20" t="s">
        <v>13</v>
      </c>
      <c r="B66" s="21" t="s">
        <v>99</v>
      </c>
      <c r="C66" s="10"/>
      <c r="D66" s="10"/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f t="shared" si="0"/>
        <v>4</v>
      </c>
      <c r="L66" s="10">
        <f t="shared" si="1"/>
        <v>0</v>
      </c>
      <c r="M66" s="10">
        <v>9</v>
      </c>
      <c r="N66" s="7">
        <f t="shared" si="2"/>
        <v>0</v>
      </c>
      <c r="O66" s="10">
        <f t="shared" si="3"/>
        <v>9</v>
      </c>
    </row>
    <row r="67" spans="1:15" x14ac:dyDescent="0.2">
      <c r="A67" s="20" t="s">
        <v>13</v>
      </c>
      <c r="B67" s="21" t="s">
        <v>98</v>
      </c>
      <c r="C67" s="10"/>
      <c r="D67" s="10"/>
      <c r="E67" s="10"/>
      <c r="F67" s="10"/>
      <c r="G67" s="10"/>
      <c r="H67" s="10"/>
      <c r="I67" s="10"/>
      <c r="J67" s="10"/>
      <c r="K67" s="10">
        <f t="shared" si="0"/>
        <v>0</v>
      </c>
      <c r="L67" s="10">
        <f t="shared" si="1"/>
        <v>0</v>
      </c>
      <c r="M67" s="10">
        <v>5</v>
      </c>
      <c r="N67" s="7">
        <f t="shared" si="2"/>
        <v>0</v>
      </c>
      <c r="O67" s="10">
        <f t="shared" si="3"/>
        <v>5</v>
      </c>
    </row>
    <row r="68" spans="1:15" x14ac:dyDescent="0.2">
      <c r="A68" s="20" t="s">
        <v>13</v>
      </c>
      <c r="B68" s="21" t="s">
        <v>97</v>
      </c>
      <c r="C68" s="10"/>
      <c r="D68" s="10"/>
      <c r="E68" s="10">
        <v>1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f t="shared" si="0"/>
        <v>16</v>
      </c>
      <c r="L68" s="10">
        <f t="shared" si="1"/>
        <v>0</v>
      </c>
      <c r="M68" s="10">
        <v>5</v>
      </c>
      <c r="N68" s="7">
        <f t="shared" si="2"/>
        <v>0</v>
      </c>
      <c r="O68" s="10">
        <f t="shared" si="3"/>
        <v>5</v>
      </c>
    </row>
    <row r="69" spans="1:15" x14ac:dyDescent="0.2">
      <c r="A69" s="20" t="s">
        <v>13</v>
      </c>
      <c r="B69" s="21" t="s">
        <v>96</v>
      </c>
      <c r="C69" s="10"/>
      <c r="D69" s="10"/>
      <c r="E69" s="10">
        <v>1</v>
      </c>
      <c r="F69" s="10">
        <v>1</v>
      </c>
      <c r="G69" s="10">
        <v>0</v>
      </c>
      <c r="H69" s="10">
        <v>0</v>
      </c>
      <c r="I69" s="10">
        <v>0</v>
      </c>
      <c r="J69" s="10">
        <v>0</v>
      </c>
      <c r="K69" s="10">
        <f t="shared" ref="K69:K82" si="4">ROUND(E69*E$3+F69*F$3+G69*G$3+H69*H$3+I69*I$3+J69*J$3,0)</f>
        <v>21</v>
      </c>
      <c r="L69" s="10">
        <f t="shared" ref="L69:L82" si="5">ROUND(C69*C$3+D69*D$3,0)</f>
        <v>0</v>
      </c>
      <c r="M69" s="10">
        <v>19</v>
      </c>
      <c r="N69" s="7">
        <f t="shared" ref="N69:N82" si="6">IF(L69&gt;M69,M69,L69)</f>
        <v>0</v>
      </c>
      <c r="O69" s="10">
        <f t="shared" ref="O69:O82" si="7">M69-N69</f>
        <v>19</v>
      </c>
    </row>
    <row r="70" spans="1:15" x14ac:dyDescent="0.2">
      <c r="A70" s="20" t="s">
        <v>13</v>
      </c>
      <c r="B70" s="58" t="s">
        <v>15</v>
      </c>
      <c r="C70" s="10">
        <v>26</v>
      </c>
      <c r="D70" s="10">
        <v>437</v>
      </c>
      <c r="E70" s="10">
        <v>23</v>
      </c>
      <c r="F70" s="10">
        <v>18</v>
      </c>
      <c r="G70" s="10">
        <v>338</v>
      </c>
      <c r="H70" s="10">
        <v>43</v>
      </c>
      <c r="I70" s="10">
        <v>15</v>
      </c>
      <c r="J70" s="10">
        <v>606</v>
      </c>
      <c r="K70" s="10">
        <f t="shared" si="4"/>
        <v>13241</v>
      </c>
      <c r="L70" s="10">
        <f t="shared" si="5"/>
        <v>5213</v>
      </c>
      <c r="M70" s="10">
        <v>3217</v>
      </c>
      <c r="N70" s="7">
        <f t="shared" si="6"/>
        <v>3217</v>
      </c>
      <c r="O70" s="10">
        <f t="shared" si="7"/>
        <v>0</v>
      </c>
    </row>
    <row r="71" spans="1:15" x14ac:dyDescent="0.2">
      <c r="A71" s="20" t="s">
        <v>10</v>
      </c>
      <c r="B71" s="21" t="s">
        <v>95</v>
      </c>
      <c r="C71" s="10"/>
      <c r="D71" s="10"/>
      <c r="E71" s="10"/>
      <c r="F71" s="10"/>
      <c r="G71" s="10"/>
      <c r="H71" s="10"/>
      <c r="I71" s="10"/>
      <c r="J71" s="10"/>
      <c r="K71" s="10">
        <f t="shared" si="4"/>
        <v>0</v>
      </c>
      <c r="L71" s="10">
        <f t="shared" si="5"/>
        <v>0</v>
      </c>
      <c r="M71" s="10">
        <v>11</v>
      </c>
      <c r="N71" s="7">
        <f t="shared" si="6"/>
        <v>0</v>
      </c>
      <c r="O71" s="10">
        <f t="shared" si="7"/>
        <v>11</v>
      </c>
    </row>
    <row r="72" spans="1:15" x14ac:dyDescent="0.2">
      <c r="A72" s="20" t="s">
        <v>10</v>
      </c>
      <c r="B72" s="21" t="s">
        <v>226</v>
      </c>
      <c r="C72" s="10"/>
      <c r="D72" s="10"/>
      <c r="E72" s="10">
        <v>1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f t="shared" si="4"/>
        <v>16</v>
      </c>
      <c r="L72" s="10">
        <f t="shared" si="5"/>
        <v>0</v>
      </c>
      <c r="M72" s="10">
        <v>5</v>
      </c>
      <c r="N72" s="7">
        <f t="shared" si="6"/>
        <v>0</v>
      </c>
      <c r="O72" s="10">
        <f t="shared" si="7"/>
        <v>5</v>
      </c>
    </row>
    <row r="73" spans="1:15" x14ac:dyDescent="0.2">
      <c r="A73" s="20" t="s">
        <v>10</v>
      </c>
      <c r="B73" s="58" t="s">
        <v>227</v>
      </c>
      <c r="C73" s="10">
        <v>11</v>
      </c>
      <c r="D73" s="10">
        <v>25</v>
      </c>
      <c r="E73" s="10">
        <v>4</v>
      </c>
      <c r="F73" s="10">
        <v>0</v>
      </c>
      <c r="G73" s="10">
        <v>41</v>
      </c>
      <c r="H73" s="10">
        <v>4</v>
      </c>
      <c r="I73" s="10">
        <v>0</v>
      </c>
      <c r="J73" s="10">
        <v>96</v>
      </c>
      <c r="K73" s="10">
        <f t="shared" si="4"/>
        <v>1718</v>
      </c>
      <c r="L73" s="10">
        <f t="shared" si="5"/>
        <v>368</v>
      </c>
      <c r="M73" s="10">
        <v>434</v>
      </c>
      <c r="N73" s="7">
        <f t="shared" si="6"/>
        <v>368</v>
      </c>
      <c r="O73" s="10">
        <f t="shared" si="7"/>
        <v>66</v>
      </c>
    </row>
    <row r="74" spans="1:15" x14ac:dyDescent="0.2">
      <c r="A74" s="20" t="s">
        <v>6</v>
      </c>
      <c r="B74" s="21" t="s">
        <v>228</v>
      </c>
      <c r="C74" s="10"/>
      <c r="D74" s="10"/>
      <c r="E74" s="10">
        <v>2</v>
      </c>
      <c r="F74" s="10"/>
      <c r="G74" s="10"/>
      <c r="H74" s="10"/>
      <c r="I74" s="10"/>
      <c r="J74" s="10"/>
      <c r="K74" s="10">
        <f t="shared" si="4"/>
        <v>32</v>
      </c>
      <c r="L74" s="10">
        <f t="shared" si="5"/>
        <v>0</v>
      </c>
      <c r="M74" s="10">
        <v>10</v>
      </c>
      <c r="N74" s="7">
        <f t="shared" si="6"/>
        <v>0</v>
      </c>
      <c r="O74" s="10">
        <f t="shared" si="7"/>
        <v>10</v>
      </c>
    </row>
    <row r="75" spans="1:15" x14ac:dyDescent="0.2">
      <c r="A75" s="20" t="s">
        <v>6</v>
      </c>
      <c r="B75" s="21" t="s">
        <v>229</v>
      </c>
      <c r="C75" s="10"/>
      <c r="D75" s="10"/>
      <c r="E75" s="10">
        <v>1</v>
      </c>
      <c r="F75" s="10"/>
      <c r="G75" s="10"/>
      <c r="H75" s="10"/>
      <c r="I75" s="10"/>
      <c r="J75" s="10"/>
      <c r="K75" s="10">
        <f t="shared" si="4"/>
        <v>16</v>
      </c>
      <c r="L75" s="10">
        <f t="shared" si="5"/>
        <v>0</v>
      </c>
      <c r="M75" s="10">
        <v>9</v>
      </c>
      <c r="N75" s="7">
        <f t="shared" si="6"/>
        <v>0</v>
      </c>
      <c r="O75" s="10">
        <f t="shared" si="7"/>
        <v>9</v>
      </c>
    </row>
    <row r="76" spans="1:15" x14ac:dyDescent="0.2">
      <c r="A76" s="20" t="s">
        <v>6</v>
      </c>
      <c r="B76" s="21" t="s">
        <v>94</v>
      </c>
      <c r="C76" s="10"/>
      <c r="D76" s="10"/>
      <c r="E76" s="10">
        <v>1</v>
      </c>
      <c r="F76" s="10"/>
      <c r="G76" s="10"/>
      <c r="H76" s="10"/>
      <c r="I76" s="10"/>
      <c r="J76" s="10"/>
      <c r="K76" s="10">
        <f t="shared" si="4"/>
        <v>16</v>
      </c>
      <c r="L76" s="10">
        <f t="shared" si="5"/>
        <v>0</v>
      </c>
      <c r="M76" s="10">
        <v>13</v>
      </c>
      <c r="N76" s="7">
        <f t="shared" si="6"/>
        <v>0</v>
      </c>
      <c r="O76" s="10">
        <f t="shared" si="7"/>
        <v>13</v>
      </c>
    </row>
    <row r="77" spans="1:15" x14ac:dyDescent="0.2">
      <c r="A77" s="20" t="s">
        <v>6</v>
      </c>
      <c r="B77" s="58" t="s">
        <v>5</v>
      </c>
      <c r="C77" s="10">
        <v>16</v>
      </c>
      <c r="D77" s="10">
        <v>395</v>
      </c>
      <c r="E77" s="10">
        <v>7</v>
      </c>
      <c r="F77" s="10">
        <v>3</v>
      </c>
      <c r="G77" s="10">
        <v>83</v>
      </c>
      <c r="H77" s="10">
        <v>6</v>
      </c>
      <c r="I77" s="10">
        <v>1</v>
      </c>
      <c r="J77" s="10">
        <v>1235</v>
      </c>
      <c r="K77" s="10">
        <f t="shared" si="4"/>
        <v>15345</v>
      </c>
      <c r="L77" s="10">
        <f t="shared" si="5"/>
        <v>4657</v>
      </c>
      <c r="M77" s="10">
        <v>893</v>
      </c>
      <c r="N77" s="7">
        <f t="shared" si="6"/>
        <v>893</v>
      </c>
      <c r="O77" s="10">
        <f t="shared" si="7"/>
        <v>0</v>
      </c>
    </row>
    <row r="78" spans="1:15" x14ac:dyDescent="0.2">
      <c r="A78" s="20" t="s">
        <v>1</v>
      </c>
      <c r="B78" s="21" t="s">
        <v>93</v>
      </c>
      <c r="C78" s="10"/>
      <c r="D78" s="10"/>
      <c r="E78" s="10"/>
      <c r="F78" s="10"/>
      <c r="G78" s="10"/>
      <c r="H78" s="10"/>
      <c r="I78" s="10"/>
      <c r="J78" s="10"/>
      <c r="K78" s="10">
        <f t="shared" si="4"/>
        <v>0</v>
      </c>
      <c r="L78" s="10">
        <f t="shared" si="5"/>
        <v>0</v>
      </c>
      <c r="M78" s="10">
        <v>4</v>
      </c>
      <c r="N78" s="7">
        <f t="shared" si="6"/>
        <v>0</v>
      </c>
      <c r="O78" s="10">
        <f t="shared" si="7"/>
        <v>4</v>
      </c>
    </row>
    <row r="79" spans="1:15" x14ac:dyDescent="0.2">
      <c r="A79" s="20" t="s">
        <v>1</v>
      </c>
      <c r="B79" s="21" t="s">
        <v>92</v>
      </c>
      <c r="C79" s="10"/>
      <c r="D79" s="10"/>
      <c r="E79" s="10"/>
      <c r="F79" s="10"/>
      <c r="G79" s="10"/>
      <c r="H79" s="10"/>
      <c r="I79" s="10"/>
      <c r="J79" s="10"/>
      <c r="K79" s="10">
        <f t="shared" si="4"/>
        <v>0</v>
      </c>
      <c r="L79" s="10">
        <f t="shared" si="5"/>
        <v>0</v>
      </c>
      <c r="M79" s="10">
        <v>6</v>
      </c>
      <c r="N79" s="7">
        <f t="shared" si="6"/>
        <v>0</v>
      </c>
      <c r="O79" s="10">
        <f t="shared" si="7"/>
        <v>6</v>
      </c>
    </row>
    <row r="80" spans="1:15" x14ac:dyDescent="0.2">
      <c r="A80" s="20" t="s">
        <v>1</v>
      </c>
      <c r="B80" s="21" t="s">
        <v>230</v>
      </c>
      <c r="C80" s="10"/>
      <c r="D80" s="10"/>
      <c r="E80" s="10"/>
      <c r="F80" s="10"/>
      <c r="G80" s="10"/>
      <c r="H80" s="10"/>
      <c r="I80" s="10"/>
      <c r="J80" s="10"/>
      <c r="K80" s="10">
        <f t="shared" si="4"/>
        <v>0</v>
      </c>
      <c r="L80" s="10">
        <f t="shared" si="5"/>
        <v>0</v>
      </c>
      <c r="M80" s="10">
        <v>2</v>
      </c>
      <c r="N80" s="7">
        <f t="shared" si="6"/>
        <v>0</v>
      </c>
      <c r="O80" s="10">
        <f t="shared" si="7"/>
        <v>2</v>
      </c>
    </row>
    <row r="81" spans="1:15" x14ac:dyDescent="0.2">
      <c r="A81" s="20" t="s">
        <v>1</v>
      </c>
      <c r="B81" s="21" t="s">
        <v>91</v>
      </c>
      <c r="C81" s="10"/>
      <c r="D81" s="10"/>
      <c r="E81" s="10"/>
      <c r="F81" s="10"/>
      <c r="G81" s="10"/>
      <c r="H81" s="10"/>
      <c r="I81" s="10"/>
      <c r="J81" s="10"/>
      <c r="K81" s="10">
        <f t="shared" si="4"/>
        <v>0</v>
      </c>
      <c r="L81" s="10">
        <f t="shared" si="5"/>
        <v>0</v>
      </c>
      <c r="M81" s="10">
        <v>13</v>
      </c>
      <c r="N81" s="7">
        <f t="shared" si="6"/>
        <v>0</v>
      </c>
      <c r="O81" s="10">
        <f t="shared" si="7"/>
        <v>13</v>
      </c>
    </row>
    <row r="82" spans="1:15" x14ac:dyDescent="0.2">
      <c r="A82" s="20" t="s">
        <v>1</v>
      </c>
      <c r="B82" s="58" t="s">
        <v>0</v>
      </c>
      <c r="C82" s="10">
        <v>1</v>
      </c>
      <c r="D82" s="10">
        <v>45</v>
      </c>
      <c r="E82" s="10">
        <v>7</v>
      </c>
      <c r="F82" s="10">
        <v>0</v>
      </c>
      <c r="G82" s="10">
        <v>39</v>
      </c>
      <c r="H82" s="10">
        <v>2</v>
      </c>
      <c r="I82" s="10">
        <v>0</v>
      </c>
      <c r="J82" s="10">
        <v>77</v>
      </c>
      <c r="K82" s="10">
        <f t="shared" si="4"/>
        <v>1410</v>
      </c>
      <c r="L82" s="10">
        <f t="shared" si="5"/>
        <v>524</v>
      </c>
      <c r="M82" s="10">
        <v>523</v>
      </c>
      <c r="N82" s="7">
        <f t="shared" si="6"/>
        <v>523</v>
      </c>
      <c r="O82" s="10">
        <f t="shared" si="7"/>
        <v>0</v>
      </c>
    </row>
    <row r="83" spans="1:15" x14ac:dyDescent="0.2">
      <c r="A83" s="238" t="s">
        <v>149</v>
      </c>
      <c r="B83" s="238"/>
      <c r="C83" s="59">
        <f>SUM(C4:C82)</f>
        <v>272</v>
      </c>
      <c r="D83" s="59">
        <f>SUM(D4:D82)</f>
        <v>2843</v>
      </c>
      <c r="E83" s="59">
        <f>SUM(E4:E82)</f>
        <v>299</v>
      </c>
      <c r="F83" s="59">
        <f>SUM(F4:F82)</f>
        <v>264</v>
      </c>
      <c r="G83" s="59">
        <f t="shared" ref="G83:I83" si="8">SUM(G4:G82)</f>
        <v>1764</v>
      </c>
      <c r="H83" s="59">
        <f t="shared" si="8"/>
        <v>335</v>
      </c>
      <c r="I83" s="59">
        <f t="shared" si="8"/>
        <v>87</v>
      </c>
      <c r="J83" s="59">
        <f>SUM(J4:J82)</f>
        <v>11439</v>
      </c>
      <c r="K83" s="59">
        <f>SUM(K4:K82)</f>
        <v>175082</v>
      </c>
      <c r="L83" s="59">
        <f>SUM(L4:L82)</f>
        <v>34674</v>
      </c>
      <c r="M83" s="59">
        <f>SUM(M4:M82)</f>
        <v>29490</v>
      </c>
      <c r="N83" s="59">
        <f t="shared" ref="N83:O83" si="9">SUM(N4:N82)</f>
        <v>19735</v>
      </c>
      <c r="O83" s="59">
        <f t="shared" si="9"/>
        <v>9755</v>
      </c>
    </row>
    <row r="84" spans="1:15" x14ac:dyDescent="0.2">
      <c r="C84" s="5"/>
      <c r="D84" s="5"/>
      <c r="E84" s="5"/>
      <c r="F84" s="5"/>
      <c r="G84" s="5"/>
      <c r="H84" s="5"/>
      <c r="I84" s="5"/>
      <c r="J84" s="5"/>
      <c r="K84" s="5"/>
    </row>
    <row r="85" spans="1:15" x14ac:dyDescent="0.2">
      <c r="K85" s="93"/>
      <c r="M85" s="124" t="s">
        <v>513</v>
      </c>
      <c r="N85" s="173">
        <f>N83+K83</f>
        <v>194817</v>
      </c>
      <c r="O85" s="1" t="s">
        <v>523</v>
      </c>
    </row>
  </sheetData>
  <mergeCells count="10">
    <mergeCell ref="M1:M3"/>
    <mergeCell ref="N1:N3"/>
    <mergeCell ref="O1:O3"/>
    <mergeCell ref="A83:B83"/>
    <mergeCell ref="A1:A3"/>
    <mergeCell ref="B1:B3"/>
    <mergeCell ref="C1:D1"/>
    <mergeCell ref="E1:J1"/>
    <mergeCell ref="K1:K3"/>
    <mergeCell ref="L1:L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41DB9-715D-43BA-8A00-AF194B8B6733}">
  <dimension ref="A1:P95"/>
  <sheetViews>
    <sheetView workbookViewId="0">
      <pane xSplit="2" ySplit="3" topLeftCell="C52" activePane="bottomRight" state="frozen"/>
      <selection pane="topRight" activeCell="D1" sqref="D1"/>
      <selection pane="bottomLeft" activeCell="A4" sqref="A4"/>
      <selection pane="bottomRight" activeCell="H87" sqref="H87"/>
    </sheetView>
  </sheetViews>
  <sheetFormatPr defaultRowHeight="12.75" x14ac:dyDescent="0.2"/>
  <cols>
    <col min="1" max="1" width="9.5703125" bestFit="1" customWidth="1"/>
    <col min="2" max="2" width="19.42578125" bestFit="1" customWidth="1"/>
    <col min="3" max="3" width="9.28515625" bestFit="1" customWidth="1"/>
    <col min="4" max="4" width="7.42578125" bestFit="1" customWidth="1"/>
    <col min="5" max="5" width="14.28515625" bestFit="1" customWidth="1"/>
    <col min="6" max="6" width="9.28515625" bestFit="1" customWidth="1"/>
    <col min="7" max="7" width="7.42578125" bestFit="1" customWidth="1"/>
    <col min="8" max="8" width="9.28515625" bestFit="1" customWidth="1"/>
    <col min="9" max="9" width="7.42578125" bestFit="1" customWidth="1"/>
    <col min="10" max="10" width="14.28515625" customWidth="1"/>
    <col min="11" max="11" width="10.5703125" customWidth="1"/>
    <col min="12" max="12" width="10.42578125" customWidth="1"/>
    <col min="13" max="13" width="9.5703125" bestFit="1" customWidth="1"/>
  </cols>
  <sheetData>
    <row r="1" spans="1:16" ht="28.5" customHeight="1" x14ac:dyDescent="0.2">
      <c r="A1" s="189" t="s">
        <v>148</v>
      </c>
      <c r="B1" s="189" t="s">
        <v>147</v>
      </c>
      <c r="C1" s="180" t="s">
        <v>504</v>
      </c>
      <c r="D1" s="180"/>
      <c r="E1" s="180"/>
      <c r="F1" s="180" t="s">
        <v>376</v>
      </c>
      <c r="G1" s="180"/>
      <c r="H1" s="180" t="s">
        <v>377</v>
      </c>
      <c r="I1" s="180"/>
      <c r="J1" s="180"/>
      <c r="K1" s="240" t="s">
        <v>396</v>
      </c>
      <c r="L1" s="180" t="s">
        <v>368</v>
      </c>
      <c r="M1" s="180" t="s">
        <v>191</v>
      </c>
      <c r="O1" s="6"/>
    </row>
    <row r="2" spans="1:16" ht="12.75" customHeight="1" x14ac:dyDescent="0.2">
      <c r="A2" s="189"/>
      <c r="B2" s="189"/>
      <c r="C2" s="180"/>
      <c r="D2" s="180"/>
      <c r="E2" s="180"/>
      <c r="F2" s="180"/>
      <c r="G2" s="180"/>
      <c r="H2" s="180"/>
      <c r="I2" s="180"/>
      <c r="J2" s="180"/>
      <c r="K2" s="248"/>
      <c r="L2" s="249"/>
      <c r="M2" s="249"/>
    </row>
    <row r="3" spans="1:16" x14ac:dyDescent="0.2">
      <c r="A3" s="189"/>
      <c r="B3" s="189"/>
      <c r="C3" s="171" t="s">
        <v>192</v>
      </c>
      <c r="D3" s="171" t="s">
        <v>193</v>
      </c>
      <c r="E3" s="171" t="s">
        <v>194</v>
      </c>
      <c r="F3" s="171" t="s">
        <v>192</v>
      </c>
      <c r="G3" s="171" t="s">
        <v>193</v>
      </c>
      <c r="H3" s="171" t="s">
        <v>192</v>
      </c>
      <c r="I3" s="171" t="s">
        <v>193</v>
      </c>
      <c r="J3" s="171" t="s">
        <v>194</v>
      </c>
      <c r="K3" s="248"/>
      <c r="L3" s="249"/>
      <c r="M3" s="249"/>
    </row>
    <row r="4" spans="1:16" x14ac:dyDescent="0.2">
      <c r="A4" s="20" t="s">
        <v>69</v>
      </c>
      <c r="B4" s="21" t="s">
        <v>138</v>
      </c>
      <c r="C4" s="14">
        <v>143.33599999999996</v>
      </c>
      <c r="D4" s="14">
        <v>32.96200000000001</v>
      </c>
      <c r="E4" s="14">
        <f>C4+5*D4</f>
        <v>308.14600000000002</v>
      </c>
      <c r="F4" s="105">
        <v>0.40800000000000003</v>
      </c>
      <c r="G4" s="14"/>
      <c r="H4" s="14">
        <f>C4-F4</f>
        <v>142.92799999999997</v>
      </c>
      <c r="I4" s="14">
        <f>D4-G4</f>
        <v>32.96200000000001</v>
      </c>
      <c r="J4" s="14">
        <f>H4+5*I4</f>
        <v>307.73800000000006</v>
      </c>
      <c r="K4" s="14">
        <f>ROUND(J4*K$88,0)</f>
        <v>212025</v>
      </c>
      <c r="L4" s="14">
        <v>210495</v>
      </c>
      <c r="M4" s="14">
        <f>K4-L4</f>
        <v>1530</v>
      </c>
      <c r="N4" s="94"/>
      <c r="O4" s="94"/>
      <c r="P4" s="94"/>
    </row>
    <row r="5" spans="1:16" x14ac:dyDescent="0.2">
      <c r="A5" s="20" t="s">
        <v>69</v>
      </c>
      <c r="B5" s="21" t="s">
        <v>137</v>
      </c>
      <c r="C5" s="14">
        <v>206.88300000000004</v>
      </c>
      <c r="D5" s="14">
        <v>36.888000000000055</v>
      </c>
      <c r="E5" s="14">
        <f t="shared" ref="E5:E68" si="0">C5+5*D5</f>
        <v>391.32300000000032</v>
      </c>
      <c r="F5" s="14"/>
      <c r="G5" s="14"/>
      <c r="H5" s="14">
        <f t="shared" ref="H5:H68" si="1">C5-F5</f>
        <v>206.88300000000004</v>
      </c>
      <c r="I5" s="14">
        <f t="shared" ref="I5:I68" si="2">D5-G5</f>
        <v>36.888000000000055</v>
      </c>
      <c r="J5" s="14">
        <f t="shared" ref="J5:J68" si="3">H5+5*I5</f>
        <v>391.32300000000032</v>
      </c>
      <c r="K5" s="14">
        <f t="shared" ref="K5:K68" si="4">ROUND(J5*K$88,0)</f>
        <v>269613</v>
      </c>
      <c r="L5" s="14">
        <v>269120</v>
      </c>
      <c r="M5" s="14">
        <f t="shared" ref="M5:M68" si="5">K5-L5</f>
        <v>493</v>
      </c>
      <c r="N5" s="94"/>
      <c r="O5" s="94"/>
      <c r="P5" s="94"/>
    </row>
    <row r="6" spans="1:16" x14ac:dyDescent="0.2">
      <c r="A6" s="20" t="s">
        <v>69</v>
      </c>
      <c r="B6" s="21" t="s">
        <v>136</v>
      </c>
      <c r="C6" s="14">
        <v>117.40600000000009</v>
      </c>
      <c r="D6" s="14">
        <v>21.38600000000001</v>
      </c>
      <c r="E6" s="14">
        <f t="shared" si="0"/>
        <v>224.33600000000013</v>
      </c>
      <c r="F6" s="14"/>
      <c r="G6" s="14"/>
      <c r="H6" s="14">
        <f t="shared" si="1"/>
        <v>117.40600000000009</v>
      </c>
      <c r="I6" s="14">
        <f t="shared" si="2"/>
        <v>21.38600000000001</v>
      </c>
      <c r="J6" s="14">
        <f t="shared" si="3"/>
        <v>224.33600000000013</v>
      </c>
      <c r="K6" s="14">
        <f t="shared" si="4"/>
        <v>154563</v>
      </c>
      <c r="L6" s="14">
        <v>152918</v>
      </c>
      <c r="M6" s="14">
        <f t="shared" si="5"/>
        <v>1645</v>
      </c>
      <c r="N6" s="94"/>
      <c r="O6" s="94"/>
      <c r="P6" s="94"/>
    </row>
    <row r="7" spans="1:16" x14ac:dyDescent="0.2">
      <c r="A7" s="20" t="s">
        <v>69</v>
      </c>
      <c r="B7" s="21" t="s">
        <v>81</v>
      </c>
      <c r="C7" s="14">
        <v>2.1030000000000002</v>
      </c>
      <c r="D7" s="14">
        <v>50.348999999999997</v>
      </c>
      <c r="E7" s="14">
        <f t="shared" si="0"/>
        <v>253.84799999999998</v>
      </c>
      <c r="F7" s="14"/>
      <c r="G7" s="14"/>
      <c r="H7" s="14">
        <f t="shared" si="1"/>
        <v>2.1030000000000002</v>
      </c>
      <c r="I7" s="14">
        <f t="shared" si="2"/>
        <v>50.348999999999997</v>
      </c>
      <c r="J7" s="14">
        <f t="shared" si="3"/>
        <v>253.84799999999998</v>
      </c>
      <c r="K7" s="14">
        <f t="shared" si="4"/>
        <v>174896</v>
      </c>
      <c r="L7" s="14">
        <v>176269</v>
      </c>
      <c r="M7" s="14">
        <f t="shared" si="5"/>
        <v>-1373</v>
      </c>
      <c r="N7" s="94"/>
      <c r="O7" s="94"/>
      <c r="P7" s="94"/>
    </row>
    <row r="8" spans="1:16" x14ac:dyDescent="0.2">
      <c r="A8" s="20" t="s">
        <v>69</v>
      </c>
      <c r="B8" s="21" t="s">
        <v>135</v>
      </c>
      <c r="C8" s="14">
        <v>58.560000000000116</v>
      </c>
      <c r="D8" s="14">
        <v>38.093000000000039</v>
      </c>
      <c r="E8" s="14">
        <f t="shared" si="0"/>
        <v>249.02500000000032</v>
      </c>
      <c r="F8" s="14"/>
      <c r="G8" s="14"/>
      <c r="H8" s="14">
        <f t="shared" si="1"/>
        <v>58.560000000000116</v>
      </c>
      <c r="I8" s="14">
        <f t="shared" si="2"/>
        <v>38.093000000000039</v>
      </c>
      <c r="J8" s="14">
        <f t="shared" si="3"/>
        <v>249.02500000000032</v>
      </c>
      <c r="K8" s="14">
        <f t="shared" si="4"/>
        <v>171573</v>
      </c>
      <c r="L8" s="14">
        <v>171537</v>
      </c>
      <c r="M8" s="14">
        <f t="shared" si="5"/>
        <v>36</v>
      </c>
      <c r="N8" s="94"/>
      <c r="O8" s="94"/>
      <c r="P8" s="94"/>
    </row>
    <row r="9" spans="1:16" x14ac:dyDescent="0.2">
      <c r="A9" s="20" t="s">
        <v>69</v>
      </c>
      <c r="B9" s="22" t="s">
        <v>134</v>
      </c>
      <c r="C9" s="14">
        <v>130.64099999999991</v>
      </c>
      <c r="D9" s="14">
        <v>37.766999999999989</v>
      </c>
      <c r="E9" s="14">
        <f t="shared" si="0"/>
        <v>319.47599999999989</v>
      </c>
      <c r="F9" s="14"/>
      <c r="G9" s="14"/>
      <c r="H9" s="14">
        <f t="shared" si="1"/>
        <v>130.64099999999991</v>
      </c>
      <c r="I9" s="14">
        <f t="shared" si="2"/>
        <v>37.766999999999989</v>
      </c>
      <c r="J9" s="14">
        <f t="shared" si="3"/>
        <v>319.47599999999989</v>
      </c>
      <c r="K9" s="14">
        <f t="shared" si="4"/>
        <v>220112</v>
      </c>
      <c r="L9" s="14">
        <v>222808</v>
      </c>
      <c r="M9" s="14">
        <f t="shared" si="5"/>
        <v>-2696</v>
      </c>
      <c r="N9" s="94"/>
      <c r="O9" s="94"/>
      <c r="P9" s="94"/>
    </row>
    <row r="10" spans="1:16" x14ac:dyDescent="0.2">
      <c r="A10" s="20" t="s">
        <v>69</v>
      </c>
      <c r="B10" s="21" t="s">
        <v>133</v>
      </c>
      <c r="C10" s="14">
        <v>272.11500000000012</v>
      </c>
      <c r="D10" s="14">
        <v>12.051999999999996</v>
      </c>
      <c r="E10" s="14">
        <f t="shared" si="0"/>
        <v>332.37500000000011</v>
      </c>
      <c r="F10" s="14"/>
      <c r="G10" s="14"/>
      <c r="H10" s="14">
        <f t="shared" si="1"/>
        <v>272.11500000000012</v>
      </c>
      <c r="I10" s="14">
        <f t="shared" si="2"/>
        <v>12.051999999999996</v>
      </c>
      <c r="J10" s="14">
        <f t="shared" si="3"/>
        <v>332.37500000000011</v>
      </c>
      <c r="K10" s="14">
        <f t="shared" si="4"/>
        <v>228999</v>
      </c>
      <c r="L10" s="14">
        <v>233907</v>
      </c>
      <c r="M10" s="14">
        <f t="shared" si="5"/>
        <v>-4908</v>
      </c>
      <c r="N10" s="94"/>
      <c r="O10" s="94"/>
      <c r="P10" s="94"/>
    </row>
    <row r="11" spans="1:16" x14ac:dyDescent="0.2">
      <c r="A11" s="20" t="s">
        <v>69</v>
      </c>
      <c r="B11" s="21" t="s">
        <v>83</v>
      </c>
      <c r="C11" s="14">
        <v>0</v>
      </c>
      <c r="D11" s="14">
        <v>16.655999999999985</v>
      </c>
      <c r="E11" s="14">
        <f t="shared" si="0"/>
        <v>83.279999999999916</v>
      </c>
      <c r="F11" s="14"/>
      <c r="G11" s="14"/>
      <c r="H11" s="14">
        <f t="shared" si="1"/>
        <v>0</v>
      </c>
      <c r="I11" s="14">
        <f t="shared" si="2"/>
        <v>16.655999999999985</v>
      </c>
      <c r="J11" s="14">
        <f t="shared" si="3"/>
        <v>83.279999999999916</v>
      </c>
      <c r="K11" s="14">
        <f t="shared" si="4"/>
        <v>57378</v>
      </c>
      <c r="L11" s="14">
        <v>58169</v>
      </c>
      <c r="M11" s="14">
        <f t="shared" si="5"/>
        <v>-791</v>
      </c>
      <c r="N11" s="94"/>
      <c r="O11" s="94"/>
      <c r="P11" s="94"/>
    </row>
    <row r="12" spans="1:16" x14ac:dyDescent="0.2">
      <c r="A12" s="20" t="s">
        <v>69</v>
      </c>
      <c r="B12" s="21" t="s">
        <v>231</v>
      </c>
      <c r="C12" s="14">
        <v>215.55199999999982</v>
      </c>
      <c r="D12" s="14">
        <v>97.176000000000073</v>
      </c>
      <c r="E12" s="14">
        <f t="shared" si="0"/>
        <v>701.43200000000013</v>
      </c>
      <c r="F12" s="14"/>
      <c r="G12" s="14"/>
      <c r="H12" s="14">
        <f t="shared" si="1"/>
        <v>215.55199999999982</v>
      </c>
      <c r="I12" s="14">
        <f t="shared" si="2"/>
        <v>97.176000000000073</v>
      </c>
      <c r="J12" s="14">
        <f t="shared" si="3"/>
        <v>701.43200000000013</v>
      </c>
      <c r="K12" s="14">
        <f t="shared" si="4"/>
        <v>483271</v>
      </c>
      <c r="L12" s="14">
        <v>476416</v>
      </c>
      <c r="M12" s="14">
        <f t="shared" si="5"/>
        <v>6855</v>
      </c>
      <c r="N12" s="94"/>
      <c r="O12" s="94"/>
      <c r="P12" s="94"/>
    </row>
    <row r="13" spans="1:16" x14ac:dyDescent="0.2">
      <c r="A13" s="20" t="s">
        <v>69</v>
      </c>
      <c r="B13" s="21" t="s">
        <v>68</v>
      </c>
      <c r="C13" s="14">
        <v>0</v>
      </c>
      <c r="D13" s="14">
        <v>99.069000000000045</v>
      </c>
      <c r="E13" s="14">
        <f t="shared" si="0"/>
        <v>495.34500000000025</v>
      </c>
      <c r="F13" s="14"/>
      <c r="G13" s="14"/>
      <c r="H13" s="14">
        <f t="shared" si="1"/>
        <v>0</v>
      </c>
      <c r="I13" s="14">
        <f t="shared" si="2"/>
        <v>99.069000000000045</v>
      </c>
      <c r="J13" s="14">
        <f t="shared" si="3"/>
        <v>495.34500000000025</v>
      </c>
      <c r="K13" s="14">
        <f t="shared" si="4"/>
        <v>341282</v>
      </c>
      <c r="L13" s="14">
        <v>345219</v>
      </c>
      <c r="M13" s="14">
        <f t="shared" si="5"/>
        <v>-3937</v>
      </c>
      <c r="N13" s="94"/>
      <c r="O13" s="94"/>
      <c r="P13" s="94"/>
    </row>
    <row r="14" spans="1:16" x14ac:dyDescent="0.2">
      <c r="A14" s="20" t="s">
        <v>69</v>
      </c>
      <c r="B14" s="21" t="s">
        <v>132</v>
      </c>
      <c r="C14" s="14">
        <v>77.397999999999982</v>
      </c>
      <c r="D14" s="14">
        <v>55.248000000000047</v>
      </c>
      <c r="E14" s="14">
        <f t="shared" si="0"/>
        <v>353.6380000000002</v>
      </c>
      <c r="F14" s="14"/>
      <c r="G14" s="14"/>
      <c r="H14" s="14">
        <f t="shared" si="1"/>
        <v>77.397999999999982</v>
      </c>
      <c r="I14" s="14">
        <f t="shared" si="2"/>
        <v>55.248000000000047</v>
      </c>
      <c r="J14" s="14">
        <f t="shared" si="3"/>
        <v>353.6380000000002</v>
      </c>
      <c r="K14" s="14">
        <f t="shared" si="4"/>
        <v>243649</v>
      </c>
      <c r="L14" s="14">
        <v>177236</v>
      </c>
      <c r="M14" s="14">
        <f t="shared" si="5"/>
        <v>66413</v>
      </c>
      <c r="N14" s="94"/>
      <c r="O14" s="94"/>
      <c r="P14" s="94"/>
    </row>
    <row r="15" spans="1:16" x14ac:dyDescent="0.2">
      <c r="A15" s="20" t="s">
        <v>69</v>
      </c>
      <c r="B15" s="21" t="s">
        <v>131</v>
      </c>
      <c r="C15" s="14">
        <v>137.06099999999947</v>
      </c>
      <c r="D15" s="14">
        <v>55.222000000000094</v>
      </c>
      <c r="E15" s="14">
        <f t="shared" si="0"/>
        <v>413.17099999999994</v>
      </c>
      <c r="F15" s="14"/>
      <c r="G15" s="14"/>
      <c r="H15" s="14">
        <f t="shared" si="1"/>
        <v>137.06099999999947</v>
      </c>
      <c r="I15" s="14">
        <f t="shared" si="2"/>
        <v>55.222000000000094</v>
      </c>
      <c r="J15" s="14">
        <f t="shared" si="3"/>
        <v>413.17099999999994</v>
      </c>
      <c r="K15" s="14">
        <f t="shared" si="4"/>
        <v>284666</v>
      </c>
      <c r="L15" s="14">
        <v>268647</v>
      </c>
      <c r="M15" s="14">
        <f t="shared" si="5"/>
        <v>16019</v>
      </c>
      <c r="N15" s="94"/>
      <c r="O15" s="94"/>
      <c r="P15" s="94"/>
    </row>
    <row r="16" spans="1:16" x14ac:dyDescent="0.2">
      <c r="A16" s="20" t="s">
        <v>69</v>
      </c>
      <c r="B16" s="21" t="s">
        <v>130</v>
      </c>
      <c r="C16" s="14">
        <v>62.486999999999981</v>
      </c>
      <c r="D16" s="14">
        <v>44.035000000000025</v>
      </c>
      <c r="E16" s="14">
        <f t="shared" si="0"/>
        <v>282.66200000000009</v>
      </c>
      <c r="F16" s="14"/>
      <c r="G16" s="14"/>
      <c r="H16" s="14">
        <f t="shared" si="1"/>
        <v>62.486999999999981</v>
      </c>
      <c r="I16" s="14">
        <f t="shared" si="2"/>
        <v>44.035000000000025</v>
      </c>
      <c r="J16" s="14">
        <f t="shared" si="3"/>
        <v>282.66200000000009</v>
      </c>
      <c r="K16" s="14">
        <f t="shared" si="4"/>
        <v>194748</v>
      </c>
      <c r="L16" s="14">
        <v>196223</v>
      </c>
      <c r="M16" s="14">
        <f t="shared" si="5"/>
        <v>-1475</v>
      </c>
      <c r="N16" s="94"/>
      <c r="O16" s="94"/>
      <c r="P16" s="94"/>
    </row>
    <row r="17" spans="1:16" x14ac:dyDescent="0.2">
      <c r="A17" s="20" t="s">
        <v>69</v>
      </c>
      <c r="B17" s="21" t="s">
        <v>129</v>
      </c>
      <c r="C17" s="14">
        <v>405.296999999999</v>
      </c>
      <c r="D17" s="14">
        <v>77.677000000000049</v>
      </c>
      <c r="E17" s="14">
        <f t="shared" si="0"/>
        <v>793.68199999999922</v>
      </c>
      <c r="F17" s="14"/>
      <c r="G17" s="14"/>
      <c r="H17" s="14">
        <f t="shared" si="1"/>
        <v>405.296999999999</v>
      </c>
      <c r="I17" s="14">
        <f t="shared" si="2"/>
        <v>77.677000000000049</v>
      </c>
      <c r="J17" s="14">
        <f t="shared" si="3"/>
        <v>793.68199999999922</v>
      </c>
      <c r="K17" s="14">
        <f t="shared" si="4"/>
        <v>546829</v>
      </c>
      <c r="L17" s="14">
        <v>551128</v>
      </c>
      <c r="M17" s="14">
        <f t="shared" si="5"/>
        <v>-4299</v>
      </c>
      <c r="N17" s="94"/>
      <c r="O17" s="94"/>
      <c r="P17" s="94"/>
    </row>
    <row r="18" spans="1:16" x14ac:dyDescent="0.2">
      <c r="A18" s="20" t="s">
        <v>69</v>
      </c>
      <c r="B18" s="21" t="s">
        <v>213</v>
      </c>
      <c r="C18" s="14">
        <v>2.7E-2</v>
      </c>
      <c r="D18" s="14">
        <v>1052.5429999999944</v>
      </c>
      <c r="E18" s="14">
        <f t="shared" si="0"/>
        <v>5262.741999999972</v>
      </c>
      <c r="F18" s="14"/>
      <c r="G18" s="14"/>
      <c r="H18" s="14">
        <f t="shared" si="1"/>
        <v>2.7E-2</v>
      </c>
      <c r="I18" s="14">
        <f t="shared" si="2"/>
        <v>1052.5429999999944</v>
      </c>
      <c r="J18" s="14">
        <f t="shared" si="3"/>
        <v>5262.741999999972</v>
      </c>
      <c r="K18" s="14">
        <f t="shared" si="4"/>
        <v>3625912</v>
      </c>
      <c r="L18" s="14">
        <v>3645720</v>
      </c>
      <c r="M18" s="14">
        <f t="shared" si="5"/>
        <v>-19808</v>
      </c>
      <c r="N18" s="94"/>
      <c r="O18" s="94"/>
      <c r="P18" s="94"/>
    </row>
    <row r="19" spans="1:16" x14ac:dyDescent="0.2">
      <c r="A19" s="20" t="s">
        <v>69</v>
      </c>
      <c r="B19" s="21" t="s">
        <v>128</v>
      </c>
      <c r="C19" s="14">
        <v>146.45600000000005</v>
      </c>
      <c r="D19" s="14">
        <v>43.070000000000029</v>
      </c>
      <c r="E19" s="14">
        <f t="shared" si="0"/>
        <v>361.80600000000015</v>
      </c>
      <c r="F19" s="111"/>
      <c r="G19" s="14"/>
      <c r="H19" s="14">
        <f t="shared" si="1"/>
        <v>146.45600000000005</v>
      </c>
      <c r="I19" s="14">
        <f t="shared" si="2"/>
        <v>43.070000000000029</v>
      </c>
      <c r="J19" s="14">
        <f t="shared" si="3"/>
        <v>361.80600000000015</v>
      </c>
      <c r="K19" s="14">
        <f t="shared" si="4"/>
        <v>249276</v>
      </c>
      <c r="L19" s="14">
        <v>249663</v>
      </c>
      <c r="M19" s="14">
        <f t="shared" si="5"/>
        <v>-387</v>
      </c>
      <c r="N19" s="94"/>
      <c r="O19" s="94"/>
      <c r="P19" s="94"/>
    </row>
    <row r="20" spans="1:16" x14ac:dyDescent="0.2">
      <c r="A20" s="20" t="s">
        <v>67</v>
      </c>
      <c r="B20" s="21" t="s">
        <v>217</v>
      </c>
      <c r="C20" s="14">
        <v>346.91599999999949</v>
      </c>
      <c r="D20" s="14">
        <v>48.658999999999985</v>
      </c>
      <c r="E20" s="14">
        <f t="shared" si="0"/>
        <v>590.21099999999944</v>
      </c>
      <c r="F20" s="14"/>
      <c r="G20" s="14"/>
      <c r="H20" s="14">
        <f t="shared" si="1"/>
        <v>346.91599999999949</v>
      </c>
      <c r="I20" s="14">
        <f t="shared" si="2"/>
        <v>48.658999999999985</v>
      </c>
      <c r="J20" s="14">
        <f t="shared" si="3"/>
        <v>590.21099999999944</v>
      </c>
      <c r="K20" s="14">
        <f t="shared" si="4"/>
        <v>406642</v>
      </c>
      <c r="L20" s="14">
        <v>403924</v>
      </c>
      <c r="M20" s="14">
        <f t="shared" si="5"/>
        <v>2718</v>
      </c>
      <c r="N20" s="94"/>
      <c r="O20" s="94"/>
      <c r="P20" s="94"/>
    </row>
    <row r="21" spans="1:16" x14ac:dyDescent="0.2">
      <c r="A21" s="20" t="s">
        <v>58</v>
      </c>
      <c r="B21" s="21" t="s">
        <v>218</v>
      </c>
      <c r="C21" s="14">
        <v>228.29699999999966</v>
      </c>
      <c r="D21" s="14">
        <v>23.605</v>
      </c>
      <c r="E21" s="14">
        <f t="shared" si="0"/>
        <v>346.32199999999966</v>
      </c>
      <c r="F21" s="105">
        <v>6.9440000000000017</v>
      </c>
      <c r="G21" s="14"/>
      <c r="H21" s="14">
        <f t="shared" si="1"/>
        <v>221.35299999999967</v>
      </c>
      <c r="I21" s="14">
        <f t="shared" si="2"/>
        <v>23.605</v>
      </c>
      <c r="J21" s="14">
        <f t="shared" si="3"/>
        <v>339.3779999999997</v>
      </c>
      <c r="K21" s="14">
        <f t="shared" si="4"/>
        <v>233824</v>
      </c>
      <c r="L21" s="14">
        <v>233267</v>
      </c>
      <c r="M21" s="14">
        <f t="shared" si="5"/>
        <v>557</v>
      </c>
      <c r="N21" s="94"/>
      <c r="O21" s="94"/>
      <c r="P21" s="94"/>
    </row>
    <row r="22" spans="1:16" x14ac:dyDescent="0.2">
      <c r="A22" s="20" t="s">
        <v>58</v>
      </c>
      <c r="B22" s="21" t="s">
        <v>127</v>
      </c>
      <c r="C22" s="14">
        <v>39.572999999999993</v>
      </c>
      <c r="D22" s="14">
        <v>62.499000000000002</v>
      </c>
      <c r="E22" s="14">
        <f t="shared" si="0"/>
        <v>352.06799999999998</v>
      </c>
      <c r="F22" s="14"/>
      <c r="G22" s="14"/>
      <c r="H22" s="14">
        <f t="shared" si="1"/>
        <v>39.572999999999993</v>
      </c>
      <c r="I22" s="14">
        <f t="shared" si="2"/>
        <v>62.499000000000002</v>
      </c>
      <c r="J22" s="14">
        <f t="shared" si="3"/>
        <v>352.06799999999998</v>
      </c>
      <c r="K22" s="14">
        <f t="shared" si="4"/>
        <v>242567</v>
      </c>
      <c r="L22" s="14">
        <v>245343</v>
      </c>
      <c r="M22" s="14">
        <f t="shared" si="5"/>
        <v>-2776</v>
      </c>
      <c r="N22" s="94"/>
      <c r="O22" s="94"/>
      <c r="P22" s="94"/>
    </row>
    <row r="23" spans="1:16" x14ac:dyDescent="0.2">
      <c r="A23" s="20" t="s">
        <v>58</v>
      </c>
      <c r="B23" s="21" t="s">
        <v>57</v>
      </c>
      <c r="C23" s="14">
        <v>0</v>
      </c>
      <c r="D23" s="14">
        <v>150.61000000000001</v>
      </c>
      <c r="E23" s="14">
        <f t="shared" si="0"/>
        <v>753.05000000000007</v>
      </c>
      <c r="F23" s="14"/>
      <c r="G23" s="14"/>
      <c r="H23" s="14">
        <f t="shared" si="1"/>
        <v>0</v>
      </c>
      <c r="I23" s="14">
        <f t="shared" si="2"/>
        <v>150.61000000000001</v>
      </c>
      <c r="J23" s="14">
        <f t="shared" si="3"/>
        <v>753.05000000000007</v>
      </c>
      <c r="K23" s="14">
        <f t="shared" si="4"/>
        <v>518835</v>
      </c>
      <c r="L23" s="14">
        <v>527336</v>
      </c>
      <c r="M23" s="14">
        <f t="shared" si="5"/>
        <v>-8501</v>
      </c>
      <c r="N23" s="94"/>
      <c r="O23" s="94"/>
      <c r="P23" s="94"/>
    </row>
    <row r="24" spans="1:16" x14ac:dyDescent="0.2">
      <c r="A24" s="20" t="s">
        <v>58</v>
      </c>
      <c r="B24" s="21" t="s">
        <v>126</v>
      </c>
      <c r="C24" s="14">
        <v>136.37000000000006</v>
      </c>
      <c r="D24" s="14">
        <v>87.122999999999976</v>
      </c>
      <c r="E24" s="14">
        <f t="shared" si="0"/>
        <v>571.9849999999999</v>
      </c>
      <c r="F24" s="14"/>
      <c r="G24" s="14"/>
      <c r="H24" s="14">
        <f t="shared" si="1"/>
        <v>136.37000000000006</v>
      </c>
      <c r="I24" s="14">
        <f t="shared" si="2"/>
        <v>87.122999999999976</v>
      </c>
      <c r="J24" s="14">
        <f t="shared" si="3"/>
        <v>571.9849999999999</v>
      </c>
      <c r="K24" s="14">
        <f t="shared" si="4"/>
        <v>394085</v>
      </c>
      <c r="L24" s="14">
        <v>401746</v>
      </c>
      <c r="M24" s="14">
        <f t="shared" si="5"/>
        <v>-7661</v>
      </c>
      <c r="N24" s="94"/>
      <c r="O24" s="94"/>
      <c r="P24" s="94"/>
    </row>
    <row r="25" spans="1:16" x14ac:dyDescent="0.2">
      <c r="A25" s="20" t="s">
        <v>58</v>
      </c>
      <c r="B25" s="21" t="s">
        <v>59</v>
      </c>
      <c r="C25" s="14">
        <v>0</v>
      </c>
      <c r="D25" s="14">
        <v>122.34500000000016</v>
      </c>
      <c r="E25" s="14">
        <f t="shared" si="0"/>
        <v>611.72500000000082</v>
      </c>
      <c r="F25" s="14"/>
      <c r="G25" s="14"/>
      <c r="H25" s="14">
        <f t="shared" si="1"/>
        <v>0</v>
      </c>
      <c r="I25" s="14">
        <f t="shared" si="2"/>
        <v>122.34500000000016</v>
      </c>
      <c r="J25" s="14">
        <f t="shared" si="3"/>
        <v>611.72500000000082</v>
      </c>
      <c r="K25" s="14">
        <f t="shared" si="4"/>
        <v>421465</v>
      </c>
      <c r="L25" s="14">
        <v>427313</v>
      </c>
      <c r="M25" s="14">
        <f t="shared" si="5"/>
        <v>-5848</v>
      </c>
      <c r="N25" s="94"/>
      <c r="O25" s="94"/>
      <c r="P25" s="94"/>
    </row>
    <row r="26" spans="1:16" x14ac:dyDescent="0.2">
      <c r="A26" s="20" t="s">
        <v>58</v>
      </c>
      <c r="B26" s="21" t="s">
        <v>62</v>
      </c>
      <c r="C26" s="14">
        <v>87.321000000000083</v>
      </c>
      <c r="D26" s="14">
        <v>56.450000000000024</v>
      </c>
      <c r="E26" s="14">
        <f t="shared" si="0"/>
        <v>369.5710000000002</v>
      </c>
      <c r="F26" s="14"/>
      <c r="G26" s="14"/>
      <c r="H26" s="14">
        <f t="shared" si="1"/>
        <v>87.321000000000083</v>
      </c>
      <c r="I26" s="14">
        <f t="shared" si="2"/>
        <v>56.450000000000024</v>
      </c>
      <c r="J26" s="14">
        <f t="shared" si="3"/>
        <v>369.5710000000002</v>
      </c>
      <c r="K26" s="14">
        <f t="shared" si="4"/>
        <v>254626</v>
      </c>
      <c r="L26" s="14">
        <v>254897</v>
      </c>
      <c r="M26" s="14">
        <f t="shared" si="5"/>
        <v>-271</v>
      </c>
      <c r="N26" s="94"/>
      <c r="O26" s="94"/>
      <c r="P26" s="94"/>
    </row>
    <row r="27" spans="1:16" x14ac:dyDescent="0.2">
      <c r="A27" s="20" t="s">
        <v>58</v>
      </c>
      <c r="B27" s="21" t="s">
        <v>61</v>
      </c>
      <c r="C27" s="14">
        <v>0</v>
      </c>
      <c r="D27" s="14">
        <v>22.119</v>
      </c>
      <c r="E27" s="14">
        <f t="shared" si="0"/>
        <v>110.595</v>
      </c>
      <c r="F27" s="14"/>
      <c r="G27" s="14"/>
      <c r="H27" s="14">
        <f t="shared" si="1"/>
        <v>0</v>
      </c>
      <c r="I27" s="14">
        <f t="shared" si="2"/>
        <v>22.119</v>
      </c>
      <c r="J27" s="14">
        <f t="shared" si="3"/>
        <v>110.595</v>
      </c>
      <c r="K27" s="14">
        <f t="shared" si="4"/>
        <v>76197</v>
      </c>
      <c r="L27" s="14">
        <v>76855</v>
      </c>
      <c r="M27" s="14">
        <f t="shared" si="5"/>
        <v>-658</v>
      </c>
      <c r="N27" s="94"/>
      <c r="O27" s="94"/>
      <c r="P27" s="94"/>
    </row>
    <row r="28" spans="1:16" x14ac:dyDescent="0.2">
      <c r="A28" s="20" t="s">
        <v>58</v>
      </c>
      <c r="B28" s="21" t="s">
        <v>64</v>
      </c>
      <c r="C28" s="14">
        <v>91.968000000000018</v>
      </c>
      <c r="D28" s="14">
        <v>34.128000000000029</v>
      </c>
      <c r="E28" s="14">
        <f t="shared" si="0"/>
        <v>262.60800000000017</v>
      </c>
      <c r="F28" s="14"/>
      <c r="G28" s="14"/>
      <c r="H28" s="14">
        <f t="shared" si="1"/>
        <v>91.968000000000018</v>
      </c>
      <c r="I28" s="14">
        <f t="shared" si="2"/>
        <v>34.128000000000029</v>
      </c>
      <c r="J28" s="14">
        <f t="shared" si="3"/>
        <v>262.60800000000017</v>
      </c>
      <c r="K28" s="14">
        <f t="shared" si="4"/>
        <v>180931</v>
      </c>
      <c r="L28" s="14">
        <v>182625</v>
      </c>
      <c r="M28" s="14">
        <f t="shared" si="5"/>
        <v>-1694</v>
      </c>
      <c r="N28" s="94"/>
      <c r="O28" s="94"/>
      <c r="P28" s="94"/>
    </row>
    <row r="29" spans="1:16" x14ac:dyDescent="0.2">
      <c r="A29" s="20" t="s">
        <v>55</v>
      </c>
      <c r="B29" s="21" t="s">
        <v>125</v>
      </c>
      <c r="C29" s="14">
        <v>295.74899999999968</v>
      </c>
      <c r="D29" s="14">
        <v>60.325000000000024</v>
      </c>
      <c r="E29" s="14">
        <f t="shared" si="0"/>
        <v>597.3739999999998</v>
      </c>
      <c r="F29" s="14"/>
      <c r="G29" s="14"/>
      <c r="H29" s="14">
        <f t="shared" si="1"/>
        <v>295.74899999999968</v>
      </c>
      <c r="I29" s="14">
        <f t="shared" si="2"/>
        <v>60.325000000000024</v>
      </c>
      <c r="J29" s="14">
        <f t="shared" si="3"/>
        <v>597.3739999999998</v>
      </c>
      <c r="K29" s="14">
        <f t="shared" si="4"/>
        <v>411577</v>
      </c>
      <c r="L29" s="14">
        <v>414266</v>
      </c>
      <c r="M29" s="14">
        <f t="shared" si="5"/>
        <v>-2689</v>
      </c>
      <c r="N29" s="94"/>
      <c r="O29" s="94"/>
      <c r="P29" s="94"/>
    </row>
    <row r="30" spans="1:16" x14ac:dyDescent="0.2">
      <c r="A30" s="20" t="s">
        <v>55</v>
      </c>
      <c r="B30" s="21" t="s">
        <v>219</v>
      </c>
      <c r="C30" s="14">
        <v>183.05799999999982</v>
      </c>
      <c r="D30" s="14">
        <v>40.997000000000028</v>
      </c>
      <c r="E30" s="14">
        <f t="shared" si="0"/>
        <v>388.04299999999995</v>
      </c>
      <c r="F30" s="14"/>
      <c r="G30" s="14"/>
      <c r="H30" s="14">
        <f t="shared" si="1"/>
        <v>183.05799999999982</v>
      </c>
      <c r="I30" s="14">
        <f t="shared" si="2"/>
        <v>40.997000000000028</v>
      </c>
      <c r="J30" s="14">
        <f t="shared" si="3"/>
        <v>388.04299999999995</v>
      </c>
      <c r="K30" s="14">
        <f t="shared" si="4"/>
        <v>267353</v>
      </c>
      <c r="L30" s="14">
        <v>269305</v>
      </c>
      <c r="M30" s="14">
        <f t="shared" si="5"/>
        <v>-1952</v>
      </c>
      <c r="N30" s="94"/>
      <c r="O30" s="94"/>
      <c r="P30" s="94"/>
    </row>
    <row r="31" spans="1:16" x14ac:dyDescent="0.2">
      <c r="A31" s="20" t="s">
        <v>55</v>
      </c>
      <c r="B31" s="21" t="s">
        <v>124</v>
      </c>
      <c r="C31" s="14">
        <v>93.990000000000322</v>
      </c>
      <c r="D31" s="14">
        <v>57.606999999999971</v>
      </c>
      <c r="E31" s="14">
        <f t="shared" si="0"/>
        <v>382.0250000000002</v>
      </c>
      <c r="F31" s="14"/>
      <c r="G31" s="14"/>
      <c r="H31" s="14">
        <f t="shared" si="1"/>
        <v>93.990000000000322</v>
      </c>
      <c r="I31" s="14">
        <f t="shared" si="2"/>
        <v>57.606999999999971</v>
      </c>
      <c r="J31" s="14">
        <f t="shared" si="3"/>
        <v>382.0250000000002</v>
      </c>
      <c r="K31" s="14">
        <f t="shared" si="4"/>
        <v>263207</v>
      </c>
      <c r="L31" s="14">
        <v>266399</v>
      </c>
      <c r="M31" s="14">
        <f t="shared" si="5"/>
        <v>-3192</v>
      </c>
      <c r="N31" s="94"/>
      <c r="O31" s="94"/>
      <c r="P31" s="94"/>
    </row>
    <row r="32" spans="1:16" x14ac:dyDescent="0.2">
      <c r="A32" s="20" t="s">
        <v>52</v>
      </c>
      <c r="B32" s="21" t="s">
        <v>220</v>
      </c>
      <c r="C32" s="14">
        <v>506.46399999999664</v>
      </c>
      <c r="D32" s="14">
        <v>43.437000000000026</v>
      </c>
      <c r="E32" s="14">
        <f t="shared" si="0"/>
        <v>723.6489999999967</v>
      </c>
      <c r="F32" s="14"/>
      <c r="G32" s="14"/>
      <c r="H32" s="14">
        <f t="shared" si="1"/>
        <v>506.46399999999664</v>
      </c>
      <c r="I32" s="14">
        <f t="shared" si="2"/>
        <v>43.437000000000026</v>
      </c>
      <c r="J32" s="14">
        <f t="shared" si="3"/>
        <v>723.6489999999967</v>
      </c>
      <c r="K32" s="14">
        <f t="shared" si="4"/>
        <v>498578</v>
      </c>
      <c r="L32" s="14">
        <v>502927</v>
      </c>
      <c r="M32" s="14">
        <f t="shared" si="5"/>
        <v>-4349</v>
      </c>
      <c r="N32" s="94"/>
      <c r="O32" s="94"/>
      <c r="P32" s="94"/>
    </row>
    <row r="33" spans="1:16" x14ac:dyDescent="0.2">
      <c r="A33" s="20" t="s">
        <v>52</v>
      </c>
      <c r="B33" s="21" t="s">
        <v>51</v>
      </c>
      <c r="C33" s="14">
        <v>176.42300000000037</v>
      </c>
      <c r="D33" s="14">
        <v>49.067000000000021</v>
      </c>
      <c r="E33" s="14">
        <f t="shared" si="0"/>
        <v>421.75800000000049</v>
      </c>
      <c r="F33" s="14"/>
      <c r="G33" s="14"/>
      <c r="H33" s="14">
        <f t="shared" si="1"/>
        <v>176.42300000000037</v>
      </c>
      <c r="I33" s="14">
        <f t="shared" si="2"/>
        <v>49.067000000000021</v>
      </c>
      <c r="J33" s="14">
        <f t="shared" si="3"/>
        <v>421.75800000000049</v>
      </c>
      <c r="K33" s="14">
        <f t="shared" si="4"/>
        <v>290582</v>
      </c>
      <c r="L33" s="14">
        <v>297702</v>
      </c>
      <c r="M33" s="14">
        <f t="shared" si="5"/>
        <v>-7120</v>
      </c>
      <c r="N33" s="94"/>
      <c r="O33" s="94"/>
      <c r="P33" s="94"/>
    </row>
    <row r="34" spans="1:16" x14ac:dyDescent="0.2">
      <c r="A34" s="20" t="s">
        <v>52</v>
      </c>
      <c r="B34" s="21" t="s">
        <v>123</v>
      </c>
      <c r="C34" s="14">
        <v>281.47199999999975</v>
      </c>
      <c r="D34" s="14">
        <v>66.937000000000083</v>
      </c>
      <c r="E34" s="14">
        <f t="shared" si="0"/>
        <v>616.15700000000015</v>
      </c>
      <c r="F34" s="14"/>
      <c r="G34" s="14"/>
      <c r="H34" s="14">
        <f t="shared" si="1"/>
        <v>281.47199999999975</v>
      </c>
      <c r="I34" s="14">
        <f t="shared" si="2"/>
        <v>66.937000000000083</v>
      </c>
      <c r="J34" s="14">
        <f t="shared" si="3"/>
        <v>616.15700000000015</v>
      </c>
      <c r="K34" s="14">
        <f t="shared" si="4"/>
        <v>424518</v>
      </c>
      <c r="L34" s="14">
        <v>428051</v>
      </c>
      <c r="M34" s="14">
        <f t="shared" si="5"/>
        <v>-3533</v>
      </c>
      <c r="N34" s="94"/>
      <c r="O34" s="94"/>
      <c r="P34" s="94"/>
    </row>
    <row r="35" spans="1:16" x14ac:dyDescent="0.2">
      <c r="A35" s="20" t="s">
        <v>47</v>
      </c>
      <c r="B35" s="21" t="s">
        <v>48</v>
      </c>
      <c r="C35" s="14">
        <v>149.58899999999997</v>
      </c>
      <c r="D35" s="14">
        <v>79.99799999999999</v>
      </c>
      <c r="E35" s="14">
        <f t="shared" si="0"/>
        <v>549.57899999999995</v>
      </c>
      <c r="F35" s="14"/>
      <c r="G35" s="14"/>
      <c r="H35" s="14">
        <f t="shared" si="1"/>
        <v>149.58899999999997</v>
      </c>
      <c r="I35" s="14">
        <f t="shared" si="2"/>
        <v>79.99799999999999</v>
      </c>
      <c r="J35" s="14">
        <f t="shared" si="3"/>
        <v>549.57899999999995</v>
      </c>
      <c r="K35" s="14">
        <f t="shared" si="4"/>
        <v>378648</v>
      </c>
      <c r="L35" s="14">
        <v>381084</v>
      </c>
      <c r="M35" s="14">
        <f t="shared" si="5"/>
        <v>-2436</v>
      </c>
      <c r="N35" s="94"/>
      <c r="O35" s="94"/>
      <c r="P35" s="94"/>
    </row>
    <row r="36" spans="1:16" x14ac:dyDescent="0.2">
      <c r="A36" s="20" t="s">
        <v>47</v>
      </c>
      <c r="B36" s="21" t="s">
        <v>122</v>
      </c>
      <c r="C36" s="14">
        <v>624.30699999999717</v>
      </c>
      <c r="D36" s="14">
        <v>18.518000000000001</v>
      </c>
      <c r="E36" s="14">
        <f t="shared" si="0"/>
        <v>716.89699999999721</v>
      </c>
      <c r="F36" s="14"/>
      <c r="G36" s="14"/>
      <c r="H36" s="14">
        <f t="shared" si="1"/>
        <v>624.30699999999717</v>
      </c>
      <c r="I36" s="14">
        <f t="shared" si="2"/>
        <v>18.518000000000001</v>
      </c>
      <c r="J36" s="14">
        <f t="shared" si="3"/>
        <v>716.89699999999721</v>
      </c>
      <c r="K36" s="14">
        <f t="shared" si="4"/>
        <v>493926</v>
      </c>
      <c r="L36" s="14">
        <v>499228</v>
      </c>
      <c r="M36" s="14">
        <f t="shared" si="5"/>
        <v>-5302</v>
      </c>
      <c r="N36" s="94"/>
      <c r="O36" s="94"/>
      <c r="P36" s="94"/>
    </row>
    <row r="37" spans="1:16" x14ac:dyDescent="0.2">
      <c r="A37" s="20" t="s">
        <v>47</v>
      </c>
      <c r="B37" s="21" t="s">
        <v>121</v>
      </c>
      <c r="C37" s="14">
        <v>37.443000000000033</v>
      </c>
      <c r="D37" s="14">
        <v>0</v>
      </c>
      <c r="E37" s="14">
        <f t="shared" si="0"/>
        <v>37.443000000000033</v>
      </c>
      <c r="F37" s="14"/>
      <c r="G37" s="14"/>
      <c r="H37" s="14">
        <f t="shared" si="1"/>
        <v>37.443000000000033</v>
      </c>
      <c r="I37" s="14">
        <f t="shared" si="2"/>
        <v>0</v>
      </c>
      <c r="J37" s="14">
        <f t="shared" si="3"/>
        <v>37.443000000000033</v>
      </c>
      <c r="K37" s="14">
        <f t="shared" si="4"/>
        <v>25797</v>
      </c>
      <c r="L37" s="14">
        <v>25725</v>
      </c>
      <c r="M37" s="14">
        <f t="shared" si="5"/>
        <v>72</v>
      </c>
      <c r="N37" s="94"/>
      <c r="O37" s="94"/>
      <c r="P37" s="94"/>
    </row>
    <row r="38" spans="1:16" x14ac:dyDescent="0.2">
      <c r="A38" s="20" t="s">
        <v>38</v>
      </c>
      <c r="B38" s="21" t="s">
        <v>120</v>
      </c>
      <c r="C38" s="14">
        <v>154.46200000000016</v>
      </c>
      <c r="D38" s="14">
        <v>21.35700000000001</v>
      </c>
      <c r="E38" s="14">
        <f t="shared" si="0"/>
        <v>261.24700000000018</v>
      </c>
      <c r="F38" s="14"/>
      <c r="G38" s="14"/>
      <c r="H38" s="14">
        <f t="shared" si="1"/>
        <v>154.46200000000016</v>
      </c>
      <c r="I38" s="14">
        <f t="shared" si="2"/>
        <v>21.35700000000001</v>
      </c>
      <c r="J38" s="14">
        <f t="shared" si="3"/>
        <v>261.24700000000018</v>
      </c>
      <c r="K38" s="14">
        <f t="shared" si="4"/>
        <v>179993</v>
      </c>
      <c r="L38" s="14">
        <v>181496</v>
      </c>
      <c r="M38" s="14">
        <f t="shared" si="5"/>
        <v>-1503</v>
      </c>
      <c r="N38" s="94"/>
      <c r="O38" s="94"/>
      <c r="P38" s="94"/>
    </row>
    <row r="39" spans="1:16" x14ac:dyDescent="0.2">
      <c r="A39" s="20" t="s">
        <v>38</v>
      </c>
      <c r="B39" s="21" t="s">
        <v>119</v>
      </c>
      <c r="C39" s="14">
        <v>103.77100000000003</v>
      </c>
      <c r="D39" s="14">
        <v>20.995000000000005</v>
      </c>
      <c r="E39" s="14">
        <f t="shared" si="0"/>
        <v>208.74600000000004</v>
      </c>
      <c r="F39" s="14"/>
      <c r="G39" s="14"/>
      <c r="H39" s="14">
        <f t="shared" si="1"/>
        <v>103.77100000000003</v>
      </c>
      <c r="I39" s="14">
        <f t="shared" si="2"/>
        <v>20.995000000000005</v>
      </c>
      <c r="J39" s="14">
        <f t="shared" si="3"/>
        <v>208.74600000000004</v>
      </c>
      <c r="K39" s="14">
        <f t="shared" si="4"/>
        <v>143821</v>
      </c>
      <c r="L39" s="14">
        <v>145538</v>
      </c>
      <c r="M39" s="14">
        <f t="shared" si="5"/>
        <v>-1717</v>
      </c>
      <c r="N39" s="94"/>
      <c r="O39" s="94"/>
      <c r="P39" s="94"/>
    </row>
    <row r="40" spans="1:16" x14ac:dyDescent="0.2">
      <c r="A40" s="20" t="s">
        <v>38</v>
      </c>
      <c r="B40" s="21" t="s">
        <v>118</v>
      </c>
      <c r="C40" s="14">
        <v>186.60000000000008</v>
      </c>
      <c r="D40" s="14">
        <v>25.948999999999998</v>
      </c>
      <c r="E40" s="14">
        <f t="shared" si="0"/>
        <v>316.34500000000008</v>
      </c>
      <c r="F40" s="14"/>
      <c r="G40" s="14"/>
      <c r="H40" s="14">
        <f t="shared" si="1"/>
        <v>186.60000000000008</v>
      </c>
      <c r="I40" s="14">
        <f t="shared" si="2"/>
        <v>25.948999999999998</v>
      </c>
      <c r="J40" s="14">
        <f t="shared" si="3"/>
        <v>316.34500000000008</v>
      </c>
      <c r="K40" s="14">
        <f t="shared" si="4"/>
        <v>217955</v>
      </c>
      <c r="L40" s="14">
        <v>188275</v>
      </c>
      <c r="M40" s="14">
        <f t="shared" si="5"/>
        <v>29680</v>
      </c>
      <c r="N40" s="94"/>
      <c r="O40" s="94"/>
      <c r="P40" s="94"/>
    </row>
    <row r="41" spans="1:16" x14ac:dyDescent="0.2">
      <c r="A41" s="20" t="s">
        <v>38</v>
      </c>
      <c r="B41" s="21" t="s">
        <v>37</v>
      </c>
      <c r="C41" s="14">
        <v>0</v>
      </c>
      <c r="D41" s="14">
        <v>94.827999999999847</v>
      </c>
      <c r="E41" s="14">
        <f t="shared" si="0"/>
        <v>474.13999999999925</v>
      </c>
      <c r="F41" s="14"/>
      <c r="G41" s="14"/>
      <c r="H41" s="14">
        <f t="shared" si="1"/>
        <v>0</v>
      </c>
      <c r="I41" s="14">
        <f t="shared" si="2"/>
        <v>94.827999999999847</v>
      </c>
      <c r="J41" s="14">
        <f t="shared" si="3"/>
        <v>474.13999999999925</v>
      </c>
      <c r="K41" s="14">
        <f t="shared" si="4"/>
        <v>326672</v>
      </c>
      <c r="L41" s="14">
        <v>326998</v>
      </c>
      <c r="M41" s="14">
        <f t="shared" si="5"/>
        <v>-326</v>
      </c>
      <c r="N41" s="94"/>
      <c r="O41" s="94"/>
      <c r="P41" s="94"/>
    </row>
    <row r="42" spans="1:16" x14ac:dyDescent="0.2">
      <c r="A42" s="20" t="s">
        <v>38</v>
      </c>
      <c r="B42" s="21" t="s">
        <v>117</v>
      </c>
      <c r="C42" s="14">
        <v>224.43900000000022</v>
      </c>
      <c r="D42" s="14">
        <v>89.970999999999989</v>
      </c>
      <c r="E42" s="14">
        <f t="shared" si="0"/>
        <v>674.29400000000021</v>
      </c>
      <c r="F42" s="14"/>
      <c r="G42" s="14"/>
      <c r="H42" s="14">
        <f t="shared" si="1"/>
        <v>224.43900000000022</v>
      </c>
      <c r="I42" s="14">
        <f t="shared" si="2"/>
        <v>89.970999999999989</v>
      </c>
      <c r="J42" s="14">
        <f t="shared" si="3"/>
        <v>674.29400000000021</v>
      </c>
      <c r="K42" s="14">
        <f t="shared" si="4"/>
        <v>464574</v>
      </c>
      <c r="L42" s="14">
        <v>468162</v>
      </c>
      <c r="M42" s="14">
        <f t="shared" si="5"/>
        <v>-3588</v>
      </c>
      <c r="N42" s="94"/>
      <c r="O42" s="94"/>
      <c r="P42" s="94"/>
    </row>
    <row r="43" spans="1:16" x14ac:dyDescent="0.2">
      <c r="A43" s="20" t="s">
        <v>38</v>
      </c>
      <c r="B43" s="21" t="s">
        <v>116</v>
      </c>
      <c r="C43" s="14">
        <v>366.89399999999904</v>
      </c>
      <c r="D43" s="14">
        <v>57.401000000000025</v>
      </c>
      <c r="E43" s="14">
        <f t="shared" si="0"/>
        <v>653.89899999999921</v>
      </c>
      <c r="F43" s="14"/>
      <c r="G43" s="14"/>
      <c r="H43" s="14">
        <f t="shared" si="1"/>
        <v>366.89399999999904</v>
      </c>
      <c r="I43" s="14">
        <f t="shared" si="2"/>
        <v>57.401000000000025</v>
      </c>
      <c r="J43" s="14">
        <f t="shared" si="3"/>
        <v>653.89899999999921</v>
      </c>
      <c r="K43" s="14">
        <f t="shared" si="4"/>
        <v>450522</v>
      </c>
      <c r="L43" s="14">
        <v>453944</v>
      </c>
      <c r="M43" s="14">
        <f t="shared" si="5"/>
        <v>-3422</v>
      </c>
      <c r="N43" s="94"/>
      <c r="O43" s="94"/>
      <c r="P43" s="94"/>
    </row>
    <row r="44" spans="1:16" x14ac:dyDescent="0.2">
      <c r="A44" s="20" t="s">
        <v>38</v>
      </c>
      <c r="B44" s="21" t="s">
        <v>115</v>
      </c>
      <c r="C44" s="14">
        <v>89.509000000000128</v>
      </c>
      <c r="D44" s="14">
        <v>49.470000000000006</v>
      </c>
      <c r="E44" s="14">
        <f t="shared" si="0"/>
        <v>336.85900000000015</v>
      </c>
      <c r="F44" s="14"/>
      <c r="G44" s="14"/>
      <c r="H44" s="14">
        <f t="shared" si="1"/>
        <v>89.509000000000128</v>
      </c>
      <c r="I44" s="14">
        <f t="shared" si="2"/>
        <v>49.470000000000006</v>
      </c>
      <c r="J44" s="14">
        <f t="shared" si="3"/>
        <v>336.85900000000015</v>
      </c>
      <c r="K44" s="14">
        <f t="shared" si="4"/>
        <v>232088</v>
      </c>
      <c r="L44" s="14">
        <v>234060</v>
      </c>
      <c r="M44" s="14">
        <f t="shared" si="5"/>
        <v>-1972</v>
      </c>
      <c r="N44" s="94"/>
      <c r="O44" s="94"/>
      <c r="P44" s="94"/>
    </row>
    <row r="45" spans="1:16" x14ac:dyDescent="0.2">
      <c r="A45" s="20" t="s">
        <v>38</v>
      </c>
      <c r="B45" s="21" t="s">
        <v>114</v>
      </c>
      <c r="C45" s="14">
        <v>279.78899999999942</v>
      </c>
      <c r="D45" s="14">
        <v>40.958999999999996</v>
      </c>
      <c r="E45" s="14">
        <f t="shared" si="0"/>
        <v>484.58399999999938</v>
      </c>
      <c r="F45" s="14"/>
      <c r="G45" s="14"/>
      <c r="H45" s="14">
        <f t="shared" si="1"/>
        <v>279.78899999999942</v>
      </c>
      <c r="I45" s="14">
        <f t="shared" si="2"/>
        <v>40.958999999999996</v>
      </c>
      <c r="J45" s="14">
        <f t="shared" si="3"/>
        <v>484.58399999999938</v>
      </c>
      <c r="K45" s="14">
        <f t="shared" si="4"/>
        <v>333868</v>
      </c>
      <c r="L45" s="14">
        <v>336835</v>
      </c>
      <c r="M45" s="14">
        <f t="shared" si="5"/>
        <v>-2967</v>
      </c>
      <c r="N45" s="94"/>
      <c r="O45" s="94"/>
      <c r="P45" s="94"/>
    </row>
    <row r="46" spans="1:16" x14ac:dyDescent="0.2">
      <c r="A46" s="20" t="s">
        <v>35</v>
      </c>
      <c r="B46" s="21" t="s">
        <v>113</v>
      </c>
      <c r="C46" s="14">
        <v>238.26100000000019</v>
      </c>
      <c r="D46" s="14">
        <v>6.7710000000000017</v>
      </c>
      <c r="E46" s="14">
        <f t="shared" si="0"/>
        <v>272.11600000000021</v>
      </c>
      <c r="F46" s="14"/>
      <c r="G46" s="14"/>
      <c r="H46" s="14">
        <f t="shared" si="1"/>
        <v>238.26100000000019</v>
      </c>
      <c r="I46" s="14">
        <f t="shared" si="2"/>
        <v>6.7710000000000017</v>
      </c>
      <c r="J46" s="14">
        <f t="shared" si="3"/>
        <v>272.11600000000021</v>
      </c>
      <c r="K46" s="14">
        <f t="shared" si="4"/>
        <v>187482</v>
      </c>
      <c r="L46" s="14">
        <v>186887</v>
      </c>
      <c r="M46" s="14">
        <f t="shared" si="5"/>
        <v>595</v>
      </c>
      <c r="N46" s="94"/>
      <c r="O46" s="94"/>
      <c r="P46" s="94"/>
    </row>
    <row r="47" spans="1:16" x14ac:dyDescent="0.2">
      <c r="A47" s="20" t="s">
        <v>35</v>
      </c>
      <c r="B47" s="21" t="s">
        <v>112</v>
      </c>
      <c r="C47" s="14">
        <v>439.81399999999866</v>
      </c>
      <c r="D47" s="14">
        <v>51.276999999999987</v>
      </c>
      <c r="E47" s="14">
        <f t="shared" si="0"/>
        <v>696.19899999999859</v>
      </c>
      <c r="F47" s="14"/>
      <c r="G47" s="14"/>
      <c r="H47" s="14">
        <f t="shared" si="1"/>
        <v>439.81399999999866</v>
      </c>
      <c r="I47" s="14">
        <f t="shared" si="2"/>
        <v>51.276999999999987</v>
      </c>
      <c r="J47" s="14">
        <f t="shared" si="3"/>
        <v>696.19899999999859</v>
      </c>
      <c r="K47" s="14">
        <f t="shared" si="4"/>
        <v>479666</v>
      </c>
      <c r="L47" s="14">
        <v>482584</v>
      </c>
      <c r="M47" s="14">
        <f t="shared" si="5"/>
        <v>-2918</v>
      </c>
      <c r="N47" s="94"/>
      <c r="O47" s="94"/>
      <c r="P47" s="94"/>
    </row>
    <row r="48" spans="1:16" x14ac:dyDescent="0.2">
      <c r="A48" s="20" t="s">
        <v>35</v>
      </c>
      <c r="B48" s="21" t="s">
        <v>111</v>
      </c>
      <c r="C48" s="14">
        <v>201.6850000000002</v>
      </c>
      <c r="D48" s="14">
        <v>29.707000000000022</v>
      </c>
      <c r="E48" s="14">
        <f t="shared" si="0"/>
        <v>350.22000000000031</v>
      </c>
      <c r="F48" s="14"/>
      <c r="G48" s="14"/>
      <c r="H48" s="14">
        <f t="shared" si="1"/>
        <v>201.6850000000002</v>
      </c>
      <c r="I48" s="14">
        <f t="shared" si="2"/>
        <v>29.707000000000022</v>
      </c>
      <c r="J48" s="14">
        <f t="shared" si="3"/>
        <v>350.22000000000031</v>
      </c>
      <c r="K48" s="14">
        <f t="shared" si="4"/>
        <v>241294</v>
      </c>
      <c r="L48" s="14">
        <v>243068</v>
      </c>
      <c r="M48" s="14">
        <f t="shared" si="5"/>
        <v>-1774</v>
      </c>
      <c r="N48" s="94"/>
      <c r="O48" s="94"/>
      <c r="P48" s="94"/>
    </row>
    <row r="49" spans="1:16" x14ac:dyDescent="0.2">
      <c r="A49" s="20" t="s">
        <v>28</v>
      </c>
      <c r="B49" s="21" t="s">
        <v>110</v>
      </c>
      <c r="C49" s="14">
        <v>204.63799999999972</v>
      </c>
      <c r="D49" s="14">
        <v>18.970000000000002</v>
      </c>
      <c r="E49" s="14">
        <f t="shared" si="0"/>
        <v>299.48799999999972</v>
      </c>
      <c r="F49" s="14"/>
      <c r="G49" s="14"/>
      <c r="H49" s="14">
        <f t="shared" si="1"/>
        <v>204.63799999999972</v>
      </c>
      <c r="I49" s="14">
        <f t="shared" si="2"/>
        <v>18.970000000000002</v>
      </c>
      <c r="J49" s="14">
        <f t="shared" si="3"/>
        <v>299.48799999999972</v>
      </c>
      <c r="K49" s="14">
        <f t="shared" si="4"/>
        <v>206341</v>
      </c>
      <c r="L49" s="14">
        <v>204181</v>
      </c>
      <c r="M49" s="14">
        <f t="shared" si="5"/>
        <v>2160</v>
      </c>
      <c r="N49" s="94"/>
      <c r="O49" s="94"/>
      <c r="P49" s="94"/>
    </row>
    <row r="50" spans="1:16" x14ac:dyDescent="0.2">
      <c r="A50" s="20" t="s">
        <v>28</v>
      </c>
      <c r="B50" s="21" t="s">
        <v>109</v>
      </c>
      <c r="C50" s="14">
        <v>27.361000000000008</v>
      </c>
      <c r="D50" s="14">
        <v>0</v>
      </c>
      <c r="E50" s="14">
        <f t="shared" si="0"/>
        <v>27.361000000000008</v>
      </c>
      <c r="F50" s="105">
        <v>0.92699999999999994</v>
      </c>
      <c r="G50" s="14"/>
      <c r="H50" s="14">
        <f t="shared" si="1"/>
        <v>26.434000000000008</v>
      </c>
      <c r="I50" s="14">
        <f t="shared" si="2"/>
        <v>0</v>
      </c>
      <c r="J50" s="14">
        <f t="shared" si="3"/>
        <v>26.434000000000008</v>
      </c>
      <c r="K50" s="14">
        <f t="shared" si="4"/>
        <v>18212</v>
      </c>
      <c r="L50" s="14">
        <v>18352</v>
      </c>
      <c r="M50" s="14">
        <f t="shared" si="5"/>
        <v>-140</v>
      </c>
      <c r="N50" s="94"/>
      <c r="O50" s="94"/>
      <c r="P50" s="94"/>
    </row>
    <row r="51" spans="1:16" x14ac:dyDescent="0.2">
      <c r="A51" s="20" t="s">
        <v>28</v>
      </c>
      <c r="B51" s="21" t="s">
        <v>221</v>
      </c>
      <c r="C51" s="14">
        <v>446.70799999999895</v>
      </c>
      <c r="D51" s="14">
        <v>33.603999999999992</v>
      </c>
      <c r="E51" s="14">
        <f t="shared" si="0"/>
        <v>614.72799999999893</v>
      </c>
      <c r="F51" s="105"/>
      <c r="G51" s="14"/>
      <c r="H51" s="14">
        <f t="shared" si="1"/>
        <v>446.70799999999895</v>
      </c>
      <c r="I51" s="14">
        <f t="shared" si="2"/>
        <v>33.603999999999992</v>
      </c>
      <c r="J51" s="14">
        <f t="shared" si="3"/>
        <v>614.72799999999893</v>
      </c>
      <c r="K51" s="14">
        <f t="shared" si="4"/>
        <v>423534</v>
      </c>
      <c r="L51" s="14">
        <v>420871</v>
      </c>
      <c r="M51" s="14">
        <f t="shared" si="5"/>
        <v>2663</v>
      </c>
      <c r="N51" s="94"/>
      <c r="O51" s="94"/>
      <c r="P51" s="94"/>
    </row>
    <row r="52" spans="1:16" x14ac:dyDescent="0.2">
      <c r="A52" s="20" t="s">
        <v>28</v>
      </c>
      <c r="B52" s="21" t="s">
        <v>222</v>
      </c>
      <c r="C52" s="14">
        <v>230.03399999999985</v>
      </c>
      <c r="D52" s="14">
        <v>46.03100000000002</v>
      </c>
      <c r="E52" s="14">
        <f t="shared" si="0"/>
        <v>460.18899999999996</v>
      </c>
      <c r="F52" s="105"/>
      <c r="G52" s="14"/>
      <c r="H52" s="14">
        <f t="shared" si="1"/>
        <v>230.03399999999985</v>
      </c>
      <c r="I52" s="14">
        <f t="shared" si="2"/>
        <v>46.03100000000002</v>
      </c>
      <c r="J52" s="14">
        <f t="shared" si="3"/>
        <v>460.18899999999996</v>
      </c>
      <c r="K52" s="14">
        <f t="shared" si="4"/>
        <v>317060</v>
      </c>
      <c r="L52" s="14">
        <v>322324</v>
      </c>
      <c r="M52" s="14">
        <f t="shared" si="5"/>
        <v>-5264</v>
      </c>
      <c r="N52" s="94"/>
      <c r="O52" s="94"/>
      <c r="P52" s="94"/>
    </row>
    <row r="53" spans="1:16" x14ac:dyDescent="0.2">
      <c r="A53" s="20" t="s">
        <v>28</v>
      </c>
      <c r="B53" s="21" t="s">
        <v>30</v>
      </c>
      <c r="C53" s="14">
        <v>275.61800000000017</v>
      </c>
      <c r="D53" s="14">
        <v>271.2149999999998</v>
      </c>
      <c r="E53" s="14">
        <f t="shared" si="0"/>
        <v>1631.6929999999991</v>
      </c>
      <c r="F53" s="105"/>
      <c r="G53" s="14"/>
      <c r="H53" s="14">
        <f t="shared" si="1"/>
        <v>275.61800000000017</v>
      </c>
      <c r="I53" s="14">
        <f t="shared" si="2"/>
        <v>271.2149999999998</v>
      </c>
      <c r="J53" s="14">
        <f t="shared" si="3"/>
        <v>1631.6929999999991</v>
      </c>
      <c r="K53" s="14">
        <f t="shared" si="4"/>
        <v>1124200</v>
      </c>
      <c r="L53" s="14">
        <v>1135930</v>
      </c>
      <c r="M53" s="14">
        <f t="shared" si="5"/>
        <v>-11730</v>
      </c>
      <c r="N53" s="94"/>
      <c r="O53" s="94"/>
      <c r="P53" s="94"/>
    </row>
    <row r="54" spans="1:16" x14ac:dyDescent="0.2">
      <c r="A54" s="20" t="s">
        <v>28</v>
      </c>
      <c r="B54" s="21" t="s">
        <v>108</v>
      </c>
      <c r="C54" s="14">
        <v>183.84300000000007</v>
      </c>
      <c r="D54" s="14">
        <v>32.15100000000001</v>
      </c>
      <c r="E54" s="14">
        <f t="shared" si="0"/>
        <v>344.59800000000013</v>
      </c>
      <c r="F54" s="105"/>
      <c r="G54" s="14"/>
      <c r="H54" s="14">
        <f t="shared" si="1"/>
        <v>183.84300000000007</v>
      </c>
      <c r="I54" s="14">
        <f t="shared" si="2"/>
        <v>32.15100000000001</v>
      </c>
      <c r="J54" s="14">
        <f t="shared" si="3"/>
        <v>344.59800000000013</v>
      </c>
      <c r="K54" s="14">
        <f t="shared" si="4"/>
        <v>237420</v>
      </c>
      <c r="L54" s="14">
        <v>237920</v>
      </c>
      <c r="M54" s="14">
        <f t="shared" si="5"/>
        <v>-500</v>
      </c>
      <c r="N54" s="94"/>
      <c r="O54" s="94"/>
      <c r="P54" s="94"/>
    </row>
    <row r="55" spans="1:16" x14ac:dyDescent="0.2">
      <c r="A55" s="20" t="s">
        <v>28</v>
      </c>
      <c r="B55" s="21" t="s">
        <v>107</v>
      </c>
      <c r="C55" s="14">
        <v>292.33799999999883</v>
      </c>
      <c r="D55" s="14">
        <v>60.822000000000024</v>
      </c>
      <c r="E55" s="14">
        <f t="shared" si="0"/>
        <v>596.44799999999896</v>
      </c>
      <c r="F55" s="105">
        <v>3.2079999999999993</v>
      </c>
      <c r="G55" s="14"/>
      <c r="H55" s="14">
        <f t="shared" si="1"/>
        <v>289.1299999999988</v>
      </c>
      <c r="I55" s="14">
        <f t="shared" si="2"/>
        <v>60.822000000000024</v>
      </c>
      <c r="J55" s="14">
        <f t="shared" si="3"/>
        <v>593.23999999999887</v>
      </c>
      <c r="K55" s="14">
        <f t="shared" si="4"/>
        <v>408729</v>
      </c>
      <c r="L55" s="14">
        <v>411232</v>
      </c>
      <c r="M55" s="14">
        <f t="shared" si="5"/>
        <v>-2503</v>
      </c>
      <c r="N55" s="94"/>
      <c r="O55" s="94"/>
      <c r="P55" s="94"/>
    </row>
    <row r="56" spans="1:16" x14ac:dyDescent="0.2">
      <c r="A56" s="20" t="s">
        <v>24</v>
      </c>
      <c r="B56" s="21" t="s">
        <v>106</v>
      </c>
      <c r="C56" s="14">
        <v>147.77899999999991</v>
      </c>
      <c r="D56" s="14">
        <v>42.958000000000041</v>
      </c>
      <c r="E56" s="14">
        <f t="shared" si="0"/>
        <v>362.56900000000007</v>
      </c>
      <c r="F56" s="14"/>
      <c r="G56" s="14"/>
      <c r="H56" s="14">
        <f t="shared" si="1"/>
        <v>147.77899999999991</v>
      </c>
      <c r="I56" s="14">
        <f t="shared" si="2"/>
        <v>42.958000000000041</v>
      </c>
      <c r="J56" s="14">
        <f t="shared" si="3"/>
        <v>362.56900000000007</v>
      </c>
      <c r="K56" s="14">
        <f t="shared" si="4"/>
        <v>249802</v>
      </c>
      <c r="L56" s="14">
        <v>252268</v>
      </c>
      <c r="M56" s="14">
        <f t="shared" si="5"/>
        <v>-2466</v>
      </c>
      <c r="N56" s="94"/>
      <c r="O56" s="94"/>
      <c r="P56" s="94"/>
    </row>
    <row r="57" spans="1:16" x14ac:dyDescent="0.2">
      <c r="A57" s="20" t="s">
        <v>24</v>
      </c>
      <c r="B57" s="21" t="s">
        <v>105</v>
      </c>
      <c r="C57" s="14">
        <v>141.36299999999989</v>
      </c>
      <c r="D57" s="14">
        <v>89.757000000000076</v>
      </c>
      <c r="E57" s="14">
        <f t="shared" si="0"/>
        <v>590.14800000000025</v>
      </c>
      <c r="F57" s="14"/>
      <c r="G57" s="14"/>
      <c r="H57" s="14">
        <f t="shared" si="1"/>
        <v>141.36299999999989</v>
      </c>
      <c r="I57" s="14">
        <f t="shared" si="2"/>
        <v>89.757000000000076</v>
      </c>
      <c r="J57" s="14">
        <f t="shared" si="3"/>
        <v>590.14800000000025</v>
      </c>
      <c r="K57" s="14">
        <f t="shared" si="4"/>
        <v>406599</v>
      </c>
      <c r="L57" s="14">
        <v>394247</v>
      </c>
      <c r="M57" s="14">
        <f t="shared" si="5"/>
        <v>12352</v>
      </c>
      <c r="N57" s="94"/>
      <c r="O57" s="94"/>
      <c r="P57" s="94"/>
    </row>
    <row r="58" spans="1:16" x14ac:dyDescent="0.2">
      <c r="A58" s="20" t="s">
        <v>24</v>
      </c>
      <c r="B58" s="21" t="s">
        <v>104</v>
      </c>
      <c r="C58" s="14">
        <v>553.64699999999709</v>
      </c>
      <c r="D58" s="14">
        <v>28.235000000000003</v>
      </c>
      <c r="E58" s="14">
        <f t="shared" si="0"/>
        <v>694.82199999999716</v>
      </c>
      <c r="F58" s="14"/>
      <c r="G58" s="14"/>
      <c r="H58" s="14">
        <f t="shared" si="1"/>
        <v>553.64699999999709</v>
      </c>
      <c r="I58" s="14">
        <f t="shared" si="2"/>
        <v>28.235000000000003</v>
      </c>
      <c r="J58" s="14">
        <f t="shared" si="3"/>
        <v>694.82199999999716</v>
      </c>
      <c r="K58" s="14">
        <f t="shared" si="4"/>
        <v>478717</v>
      </c>
      <c r="L58" s="14">
        <v>480231</v>
      </c>
      <c r="M58" s="14">
        <f t="shared" si="5"/>
        <v>-1514</v>
      </c>
      <c r="N58" s="94"/>
      <c r="O58" s="94"/>
      <c r="P58" s="94"/>
    </row>
    <row r="59" spans="1:16" x14ac:dyDescent="0.2">
      <c r="A59" s="20" t="s">
        <v>24</v>
      </c>
      <c r="B59" s="21" t="s">
        <v>103</v>
      </c>
      <c r="C59" s="14">
        <v>331.17299999999972</v>
      </c>
      <c r="D59" s="14">
        <v>46.839000000000027</v>
      </c>
      <c r="E59" s="14">
        <f t="shared" si="0"/>
        <v>565.36799999999982</v>
      </c>
      <c r="F59" s="14"/>
      <c r="G59" s="14"/>
      <c r="H59" s="14">
        <f t="shared" si="1"/>
        <v>331.17299999999972</v>
      </c>
      <c r="I59" s="14">
        <f t="shared" si="2"/>
        <v>46.839000000000027</v>
      </c>
      <c r="J59" s="14">
        <f t="shared" si="3"/>
        <v>565.36799999999982</v>
      </c>
      <c r="K59" s="14">
        <f t="shared" si="4"/>
        <v>389526</v>
      </c>
      <c r="L59" s="14">
        <v>392531</v>
      </c>
      <c r="M59" s="14">
        <f t="shared" si="5"/>
        <v>-3005</v>
      </c>
      <c r="N59" s="94"/>
      <c r="O59" s="94"/>
      <c r="P59" s="94"/>
    </row>
    <row r="60" spans="1:16" x14ac:dyDescent="0.2">
      <c r="A60" s="20" t="s">
        <v>20</v>
      </c>
      <c r="B60" s="21" t="s">
        <v>102</v>
      </c>
      <c r="C60" s="14">
        <v>124.58800000000018</v>
      </c>
      <c r="D60" s="14">
        <v>0</v>
      </c>
      <c r="E60" s="14">
        <f t="shared" si="0"/>
        <v>124.58800000000018</v>
      </c>
      <c r="F60" s="14"/>
      <c r="G60" s="14"/>
      <c r="H60" s="14">
        <f t="shared" si="1"/>
        <v>124.58800000000018</v>
      </c>
      <c r="I60" s="14">
        <f t="shared" si="2"/>
        <v>0</v>
      </c>
      <c r="J60" s="14">
        <f t="shared" si="3"/>
        <v>124.58800000000018</v>
      </c>
      <c r="K60" s="14">
        <f t="shared" si="4"/>
        <v>85838</v>
      </c>
      <c r="L60" s="14">
        <v>91282</v>
      </c>
      <c r="M60" s="14">
        <f t="shared" si="5"/>
        <v>-5444</v>
      </c>
      <c r="N60" s="94"/>
      <c r="O60" s="94"/>
      <c r="P60" s="94"/>
    </row>
    <row r="61" spans="1:16" x14ac:dyDescent="0.2">
      <c r="A61" s="23" t="s">
        <v>20</v>
      </c>
      <c r="B61" s="21" t="s">
        <v>101</v>
      </c>
      <c r="C61" s="14">
        <v>3.9359999999999995</v>
      </c>
      <c r="D61" s="14">
        <v>0</v>
      </c>
      <c r="E61" s="14">
        <f t="shared" si="0"/>
        <v>3.9359999999999995</v>
      </c>
      <c r="F61" s="14"/>
      <c r="G61" s="14"/>
      <c r="H61" s="14">
        <f t="shared" si="1"/>
        <v>3.9359999999999995</v>
      </c>
      <c r="I61" s="14">
        <f t="shared" si="2"/>
        <v>0</v>
      </c>
      <c r="J61" s="14">
        <f t="shared" si="3"/>
        <v>3.9359999999999995</v>
      </c>
      <c r="K61" s="14">
        <f t="shared" si="4"/>
        <v>2712</v>
      </c>
      <c r="L61" s="14">
        <v>1180</v>
      </c>
      <c r="M61" s="14">
        <f t="shared" si="5"/>
        <v>1532</v>
      </c>
      <c r="N61" s="94"/>
      <c r="O61" s="94"/>
      <c r="P61" s="94"/>
    </row>
    <row r="62" spans="1:16" x14ac:dyDescent="0.2">
      <c r="A62" s="23" t="s">
        <v>20</v>
      </c>
      <c r="B62" s="21" t="s">
        <v>223</v>
      </c>
      <c r="C62" s="14">
        <v>1145.3159999999923</v>
      </c>
      <c r="D62" s="14">
        <v>132.87100000000015</v>
      </c>
      <c r="E62" s="14">
        <f t="shared" si="0"/>
        <v>1809.670999999993</v>
      </c>
      <c r="F62" s="14"/>
      <c r="G62" s="14"/>
      <c r="H62" s="14">
        <f t="shared" si="1"/>
        <v>1145.3159999999923</v>
      </c>
      <c r="I62" s="14">
        <f t="shared" si="2"/>
        <v>132.87100000000015</v>
      </c>
      <c r="J62" s="14">
        <f t="shared" si="3"/>
        <v>1809.670999999993</v>
      </c>
      <c r="K62" s="14">
        <f t="shared" si="4"/>
        <v>1246823</v>
      </c>
      <c r="L62" s="14">
        <v>1246278</v>
      </c>
      <c r="M62" s="14">
        <f t="shared" si="5"/>
        <v>545</v>
      </c>
      <c r="N62" s="94"/>
      <c r="O62" s="94"/>
      <c r="P62" s="94"/>
    </row>
    <row r="63" spans="1:16" x14ac:dyDescent="0.2">
      <c r="A63" s="20" t="s">
        <v>13</v>
      </c>
      <c r="B63" s="21" t="s">
        <v>224</v>
      </c>
      <c r="C63" s="14">
        <v>435.11499999999955</v>
      </c>
      <c r="D63" s="14">
        <v>91.299000000000049</v>
      </c>
      <c r="E63" s="14">
        <f t="shared" si="0"/>
        <v>891.60999999999979</v>
      </c>
      <c r="F63" s="14"/>
      <c r="G63" s="14"/>
      <c r="H63" s="14">
        <f t="shared" si="1"/>
        <v>435.11499999999955</v>
      </c>
      <c r="I63" s="14">
        <f t="shared" si="2"/>
        <v>91.299000000000049</v>
      </c>
      <c r="J63" s="14">
        <f t="shared" si="3"/>
        <v>891.60999999999979</v>
      </c>
      <c r="K63" s="14">
        <f t="shared" si="4"/>
        <v>614299</v>
      </c>
      <c r="L63" s="14">
        <v>614886</v>
      </c>
      <c r="M63" s="14">
        <f t="shared" si="5"/>
        <v>-587</v>
      </c>
      <c r="N63" s="94"/>
      <c r="O63" s="94"/>
      <c r="P63" s="94"/>
    </row>
    <row r="64" spans="1:16" x14ac:dyDescent="0.2">
      <c r="A64" s="20" t="s">
        <v>13</v>
      </c>
      <c r="B64" s="21" t="s">
        <v>100</v>
      </c>
      <c r="C64" s="14">
        <v>262.49799999999965</v>
      </c>
      <c r="D64" s="14">
        <v>61.177000000000028</v>
      </c>
      <c r="E64" s="14">
        <f t="shared" si="0"/>
        <v>568.38299999999981</v>
      </c>
      <c r="F64" s="14"/>
      <c r="G64" s="14"/>
      <c r="H64" s="14">
        <f t="shared" si="1"/>
        <v>262.49799999999965</v>
      </c>
      <c r="I64" s="14">
        <f t="shared" si="2"/>
        <v>61.177000000000028</v>
      </c>
      <c r="J64" s="14">
        <f t="shared" si="3"/>
        <v>568.38299999999981</v>
      </c>
      <c r="K64" s="14">
        <f t="shared" si="4"/>
        <v>391603</v>
      </c>
      <c r="L64" s="14">
        <v>392113</v>
      </c>
      <c r="M64" s="14">
        <f t="shared" si="5"/>
        <v>-510</v>
      </c>
      <c r="N64" s="94"/>
      <c r="O64" s="94"/>
      <c r="P64" s="94"/>
    </row>
    <row r="65" spans="1:16" x14ac:dyDescent="0.2">
      <c r="A65" s="20" t="s">
        <v>13</v>
      </c>
      <c r="B65" s="21" t="s">
        <v>225</v>
      </c>
      <c r="C65" s="14">
        <v>213.23599999999965</v>
      </c>
      <c r="D65" s="14">
        <v>5.4649999999999999</v>
      </c>
      <c r="E65" s="14">
        <f t="shared" si="0"/>
        <v>240.56099999999964</v>
      </c>
      <c r="F65" s="14"/>
      <c r="G65" s="14"/>
      <c r="H65" s="14">
        <f t="shared" si="1"/>
        <v>213.23599999999965</v>
      </c>
      <c r="I65" s="14">
        <f t="shared" si="2"/>
        <v>5.4649999999999999</v>
      </c>
      <c r="J65" s="14">
        <f t="shared" si="3"/>
        <v>240.56099999999964</v>
      </c>
      <c r="K65" s="14">
        <f t="shared" si="4"/>
        <v>165741</v>
      </c>
      <c r="L65" s="14">
        <v>167405</v>
      </c>
      <c r="M65" s="14">
        <f t="shared" si="5"/>
        <v>-1664</v>
      </c>
      <c r="N65" s="94"/>
      <c r="O65" s="94"/>
      <c r="P65" s="94"/>
    </row>
    <row r="66" spans="1:16" x14ac:dyDescent="0.2">
      <c r="A66" s="20" t="s">
        <v>13</v>
      </c>
      <c r="B66" s="21" t="s">
        <v>99</v>
      </c>
      <c r="C66" s="14">
        <v>73.314000000000135</v>
      </c>
      <c r="D66" s="14">
        <v>4.5660000000000007</v>
      </c>
      <c r="E66" s="14">
        <f t="shared" si="0"/>
        <v>96.144000000000148</v>
      </c>
      <c r="F66" s="14"/>
      <c r="G66" s="14"/>
      <c r="H66" s="14">
        <f t="shared" si="1"/>
        <v>73.314000000000135</v>
      </c>
      <c r="I66" s="14">
        <f t="shared" si="2"/>
        <v>4.5660000000000007</v>
      </c>
      <c r="J66" s="14">
        <f t="shared" si="3"/>
        <v>96.144000000000148</v>
      </c>
      <c r="K66" s="14">
        <f t="shared" si="4"/>
        <v>66241</v>
      </c>
      <c r="L66" s="14">
        <v>65740</v>
      </c>
      <c r="M66" s="14">
        <f t="shared" si="5"/>
        <v>501</v>
      </c>
      <c r="N66" s="94"/>
      <c r="O66" s="94"/>
      <c r="P66" s="94"/>
    </row>
    <row r="67" spans="1:16" x14ac:dyDescent="0.2">
      <c r="A67" s="20" t="s">
        <v>13</v>
      </c>
      <c r="B67" s="21" t="s">
        <v>98</v>
      </c>
      <c r="C67" s="14">
        <v>141.60499999999971</v>
      </c>
      <c r="D67" s="14">
        <v>24.068999999999992</v>
      </c>
      <c r="E67" s="14">
        <f t="shared" si="0"/>
        <v>261.94999999999965</v>
      </c>
      <c r="F67" s="14"/>
      <c r="G67" s="14"/>
      <c r="H67" s="14">
        <f t="shared" si="1"/>
        <v>141.60499999999971</v>
      </c>
      <c r="I67" s="14">
        <f t="shared" si="2"/>
        <v>24.068999999999992</v>
      </c>
      <c r="J67" s="14">
        <f t="shared" si="3"/>
        <v>261.94999999999965</v>
      </c>
      <c r="K67" s="14">
        <f t="shared" si="4"/>
        <v>180478</v>
      </c>
      <c r="L67" s="14">
        <v>164954</v>
      </c>
      <c r="M67" s="14">
        <f t="shared" si="5"/>
        <v>15524</v>
      </c>
      <c r="N67" s="94"/>
      <c r="O67" s="94"/>
      <c r="P67" s="94"/>
    </row>
    <row r="68" spans="1:16" x14ac:dyDescent="0.2">
      <c r="A68" s="20" t="s">
        <v>13</v>
      </c>
      <c r="B68" s="21" t="s">
        <v>97</v>
      </c>
      <c r="C68" s="14">
        <v>255.55999999999943</v>
      </c>
      <c r="D68" s="14">
        <v>29.271000000000026</v>
      </c>
      <c r="E68" s="14">
        <f t="shared" si="0"/>
        <v>401.91499999999957</v>
      </c>
      <c r="F68" s="14"/>
      <c r="G68" s="14"/>
      <c r="H68" s="14">
        <f t="shared" si="1"/>
        <v>255.55999999999943</v>
      </c>
      <c r="I68" s="14">
        <f t="shared" si="2"/>
        <v>29.271000000000026</v>
      </c>
      <c r="J68" s="14">
        <f t="shared" si="3"/>
        <v>401.91499999999957</v>
      </c>
      <c r="K68" s="14">
        <f t="shared" si="4"/>
        <v>276910</v>
      </c>
      <c r="L68" s="14">
        <v>277194</v>
      </c>
      <c r="M68" s="14">
        <f t="shared" si="5"/>
        <v>-284</v>
      </c>
      <c r="N68" s="94"/>
      <c r="O68" s="94"/>
      <c r="P68" s="94"/>
    </row>
    <row r="69" spans="1:16" x14ac:dyDescent="0.2">
      <c r="A69" s="20" t="s">
        <v>13</v>
      </c>
      <c r="B69" s="21" t="s">
        <v>96</v>
      </c>
      <c r="C69" s="14">
        <v>304.02299999999929</v>
      </c>
      <c r="D69" s="14">
        <v>71.474000000000046</v>
      </c>
      <c r="E69" s="14">
        <f t="shared" ref="E69:E82" si="6">C69+5*D69</f>
        <v>661.39299999999957</v>
      </c>
      <c r="F69" s="14"/>
      <c r="G69" s="14"/>
      <c r="H69" s="14">
        <f t="shared" ref="H69:H82" si="7">C69-F69</f>
        <v>304.02299999999929</v>
      </c>
      <c r="I69" s="14">
        <f t="shared" ref="I69:I82" si="8">D69-G69</f>
        <v>71.474000000000046</v>
      </c>
      <c r="J69" s="14">
        <f t="shared" ref="J69:J82" si="9">H69+5*I69</f>
        <v>661.39299999999957</v>
      </c>
      <c r="K69" s="14">
        <f t="shared" ref="K69:K82" si="10">ROUND(J69*K$88,0)</f>
        <v>455685</v>
      </c>
      <c r="L69" s="14">
        <v>453842</v>
      </c>
      <c r="M69" s="14">
        <f t="shared" ref="M69:M82" si="11">K69-L69</f>
        <v>1843</v>
      </c>
      <c r="N69" s="94"/>
      <c r="O69" s="94"/>
      <c r="P69" s="94"/>
    </row>
    <row r="70" spans="1:16" x14ac:dyDescent="0.2">
      <c r="A70" s="20" t="s">
        <v>13</v>
      </c>
      <c r="B70" s="21" t="s">
        <v>15</v>
      </c>
      <c r="C70" s="14">
        <v>58.250000000000021</v>
      </c>
      <c r="D70" s="14">
        <v>357.28599999999943</v>
      </c>
      <c r="E70" s="14">
        <f t="shared" si="6"/>
        <v>1844.6799999999971</v>
      </c>
      <c r="F70" s="14"/>
      <c r="G70" s="14"/>
      <c r="H70" s="14">
        <f t="shared" si="7"/>
        <v>58.250000000000021</v>
      </c>
      <c r="I70" s="14">
        <f t="shared" si="8"/>
        <v>357.28599999999943</v>
      </c>
      <c r="J70" s="14">
        <f t="shared" si="9"/>
        <v>1844.6799999999971</v>
      </c>
      <c r="K70" s="14">
        <f t="shared" si="10"/>
        <v>1270944</v>
      </c>
      <c r="L70" s="14">
        <v>1270127</v>
      </c>
      <c r="M70" s="14">
        <f t="shared" si="11"/>
        <v>817</v>
      </c>
      <c r="N70" s="94"/>
      <c r="O70" s="94"/>
      <c r="P70" s="94"/>
    </row>
    <row r="71" spans="1:16" x14ac:dyDescent="0.2">
      <c r="A71" s="20" t="s">
        <v>10</v>
      </c>
      <c r="B71" s="21" t="s">
        <v>95</v>
      </c>
      <c r="C71" s="14">
        <v>182.84599999999966</v>
      </c>
      <c r="D71" s="14">
        <v>31.931999999999999</v>
      </c>
      <c r="E71" s="14">
        <f t="shared" si="6"/>
        <v>342.50599999999963</v>
      </c>
      <c r="F71" s="14"/>
      <c r="G71" s="14"/>
      <c r="H71" s="14">
        <f t="shared" si="7"/>
        <v>182.84599999999966</v>
      </c>
      <c r="I71" s="14">
        <f t="shared" si="8"/>
        <v>31.931999999999999</v>
      </c>
      <c r="J71" s="14">
        <f t="shared" si="9"/>
        <v>342.50599999999963</v>
      </c>
      <c r="K71" s="14">
        <f t="shared" si="10"/>
        <v>235979</v>
      </c>
      <c r="L71" s="14">
        <v>229166</v>
      </c>
      <c r="M71" s="14">
        <f t="shared" si="11"/>
        <v>6813</v>
      </c>
      <c r="N71" s="94"/>
      <c r="O71" s="94"/>
      <c r="P71" s="94"/>
    </row>
    <row r="72" spans="1:16" x14ac:dyDescent="0.2">
      <c r="A72" s="20" t="s">
        <v>10</v>
      </c>
      <c r="B72" s="21" t="s">
        <v>226</v>
      </c>
      <c r="C72" s="14">
        <v>161.17300000000009</v>
      </c>
      <c r="D72" s="14">
        <v>33.545000000000009</v>
      </c>
      <c r="E72" s="14">
        <f t="shared" si="6"/>
        <v>328.89800000000014</v>
      </c>
      <c r="F72" s="14"/>
      <c r="G72" s="14"/>
      <c r="H72" s="14">
        <f t="shared" si="7"/>
        <v>161.17300000000009</v>
      </c>
      <c r="I72" s="14">
        <f t="shared" si="8"/>
        <v>33.545000000000009</v>
      </c>
      <c r="J72" s="14">
        <f t="shared" si="9"/>
        <v>328.89800000000014</v>
      </c>
      <c r="K72" s="14">
        <f t="shared" si="10"/>
        <v>226603</v>
      </c>
      <c r="L72" s="14">
        <v>228723</v>
      </c>
      <c r="M72" s="14">
        <f t="shared" si="11"/>
        <v>-2120</v>
      </c>
      <c r="N72" s="94"/>
      <c r="O72" s="94"/>
      <c r="P72" s="94"/>
    </row>
    <row r="73" spans="1:16" x14ac:dyDescent="0.2">
      <c r="A73" s="20" t="s">
        <v>10</v>
      </c>
      <c r="B73" s="21" t="s">
        <v>227</v>
      </c>
      <c r="C73" s="14">
        <v>205.20900000000012</v>
      </c>
      <c r="D73" s="14">
        <v>99.679999999999978</v>
      </c>
      <c r="E73" s="14">
        <f t="shared" si="6"/>
        <v>703.60899999999992</v>
      </c>
      <c r="F73" s="14"/>
      <c r="G73" s="14"/>
      <c r="H73" s="14">
        <f t="shared" si="7"/>
        <v>205.20900000000012</v>
      </c>
      <c r="I73" s="14">
        <f t="shared" si="8"/>
        <v>99.679999999999978</v>
      </c>
      <c r="J73" s="14">
        <f t="shared" si="9"/>
        <v>703.60899999999992</v>
      </c>
      <c r="K73" s="14">
        <f t="shared" si="10"/>
        <v>484771</v>
      </c>
      <c r="L73" s="14">
        <v>479469</v>
      </c>
      <c r="M73" s="14">
        <f t="shared" si="11"/>
        <v>5302</v>
      </c>
      <c r="N73" s="94"/>
      <c r="O73" s="94"/>
      <c r="P73" s="94"/>
    </row>
    <row r="74" spans="1:16" x14ac:dyDescent="0.2">
      <c r="A74" s="20" t="s">
        <v>6</v>
      </c>
      <c r="B74" s="21" t="s">
        <v>228</v>
      </c>
      <c r="C74" s="14">
        <v>223.82099999999957</v>
      </c>
      <c r="D74" s="14">
        <v>45.28100000000002</v>
      </c>
      <c r="E74" s="14">
        <f t="shared" si="6"/>
        <v>450.22599999999966</v>
      </c>
      <c r="F74" s="14"/>
      <c r="G74" s="14"/>
      <c r="H74" s="14">
        <f t="shared" si="7"/>
        <v>223.82099999999957</v>
      </c>
      <c r="I74" s="14">
        <f t="shared" si="8"/>
        <v>45.28100000000002</v>
      </c>
      <c r="J74" s="14">
        <f t="shared" si="9"/>
        <v>450.22599999999966</v>
      </c>
      <c r="K74" s="14">
        <f t="shared" si="10"/>
        <v>310196</v>
      </c>
      <c r="L74" s="14">
        <v>311471</v>
      </c>
      <c r="M74" s="14">
        <f t="shared" si="11"/>
        <v>-1275</v>
      </c>
      <c r="N74" s="94"/>
      <c r="O74" s="94"/>
      <c r="P74" s="94"/>
    </row>
    <row r="75" spans="1:16" x14ac:dyDescent="0.2">
      <c r="A75" s="20" t="s">
        <v>6</v>
      </c>
      <c r="B75" s="21" t="s">
        <v>229</v>
      </c>
      <c r="C75" s="14">
        <v>249.08000000000033</v>
      </c>
      <c r="D75" s="14">
        <v>40.476000000000006</v>
      </c>
      <c r="E75" s="14">
        <f t="shared" si="6"/>
        <v>451.46000000000038</v>
      </c>
      <c r="F75" s="14"/>
      <c r="G75" s="14"/>
      <c r="H75" s="14">
        <f t="shared" si="7"/>
        <v>249.08000000000033</v>
      </c>
      <c r="I75" s="14">
        <f t="shared" si="8"/>
        <v>40.476000000000006</v>
      </c>
      <c r="J75" s="14">
        <f t="shared" si="9"/>
        <v>451.46000000000038</v>
      </c>
      <c r="K75" s="14">
        <f t="shared" si="10"/>
        <v>311046</v>
      </c>
      <c r="L75" s="14">
        <v>312713</v>
      </c>
      <c r="M75" s="14">
        <f t="shared" si="11"/>
        <v>-1667</v>
      </c>
      <c r="N75" s="94"/>
      <c r="O75" s="94"/>
      <c r="P75" s="94"/>
    </row>
    <row r="76" spans="1:16" x14ac:dyDescent="0.2">
      <c r="A76" s="20" t="s">
        <v>6</v>
      </c>
      <c r="B76" s="21" t="s">
        <v>94</v>
      </c>
      <c r="C76" s="14">
        <v>522.56699999999682</v>
      </c>
      <c r="D76" s="14">
        <v>24.76900000000002</v>
      </c>
      <c r="E76" s="14">
        <f t="shared" si="6"/>
        <v>646.41199999999697</v>
      </c>
      <c r="F76" s="14"/>
      <c r="G76" s="14"/>
      <c r="H76" s="14">
        <f t="shared" si="7"/>
        <v>522.56699999999682</v>
      </c>
      <c r="I76" s="14">
        <f t="shared" si="8"/>
        <v>24.76900000000002</v>
      </c>
      <c r="J76" s="14">
        <f t="shared" si="9"/>
        <v>646.41199999999697</v>
      </c>
      <c r="K76" s="14">
        <f t="shared" si="10"/>
        <v>445363</v>
      </c>
      <c r="L76" s="14">
        <v>448208</v>
      </c>
      <c r="M76" s="14">
        <f t="shared" si="11"/>
        <v>-2845</v>
      </c>
      <c r="N76" s="94"/>
      <c r="O76" s="94"/>
      <c r="P76" s="94"/>
    </row>
    <row r="77" spans="1:16" x14ac:dyDescent="0.2">
      <c r="A77" s="20" t="s">
        <v>6</v>
      </c>
      <c r="B77" s="21" t="s">
        <v>5</v>
      </c>
      <c r="C77" s="14">
        <v>0</v>
      </c>
      <c r="D77" s="14">
        <v>96.004999999999995</v>
      </c>
      <c r="E77" s="14">
        <f t="shared" si="6"/>
        <v>480.02499999999998</v>
      </c>
      <c r="F77" s="14"/>
      <c r="G77" s="14"/>
      <c r="H77" s="14">
        <f t="shared" si="7"/>
        <v>0</v>
      </c>
      <c r="I77" s="14">
        <f t="shared" si="8"/>
        <v>96.004999999999995</v>
      </c>
      <c r="J77" s="14">
        <f t="shared" si="9"/>
        <v>480.02499999999998</v>
      </c>
      <c r="K77" s="14">
        <f t="shared" si="10"/>
        <v>330727</v>
      </c>
      <c r="L77" s="14">
        <v>334431</v>
      </c>
      <c r="M77" s="14">
        <f t="shared" si="11"/>
        <v>-3704</v>
      </c>
      <c r="N77" s="94"/>
      <c r="O77" s="94"/>
      <c r="P77" s="94"/>
    </row>
    <row r="78" spans="1:16" x14ac:dyDescent="0.2">
      <c r="A78" s="20" t="s">
        <v>1</v>
      </c>
      <c r="B78" s="21" t="s">
        <v>93</v>
      </c>
      <c r="C78" s="14">
        <v>170.81600000000032</v>
      </c>
      <c r="D78" s="14">
        <v>26.345999999999993</v>
      </c>
      <c r="E78" s="14">
        <f t="shared" si="6"/>
        <v>302.54600000000028</v>
      </c>
      <c r="F78" s="14"/>
      <c r="G78" s="14"/>
      <c r="H78" s="14">
        <f t="shared" si="7"/>
        <v>170.81600000000032</v>
      </c>
      <c r="I78" s="14">
        <f t="shared" si="8"/>
        <v>26.345999999999993</v>
      </c>
      <c r="J78" s="14">
        <f t="shared" si="9"/>
        <v>302.54600000000028</v>
      </c>
      <c r="K78" s="14">
        <f t="shared" si="10"/>
        <v>208447</v>
      </c>
      <c r="L78" s="14">
        <v>207703</v>
      </c>
      <c r="M78" s="14">
        <f t="shared" si="11"/>
        <v>744</v>
      </c>
      <c r="N78" s="94"/>
      <c r="O78" s="94"/>
      <c r="P78" s="94"/>
    </row>
    <row r="79" spans="1:16" x14ac:dyDescent="0.2">
      <c r="A79" s="20" t="s">
        <v>1</v>
      </c>
      <c r="B79" s="21" t="s">
        <v>92</v>
      </c>
      <c r="C79" s="14">
        <v>440.65199999999828</v>
      </c>
      <c r="D79" s="14">
        <v>18.66500000000001</v>
      </c>
      <c r="E79" s="14">
        <f t="shared" si="6"/>
        <v>533.97699999999827</v>
      </c>
      <c r="F79" s="14"/>
      <c r="G79" s="14"/>
      <c r="H79" s="14">
        <f t="shared" si="7"/>
        <v>440.65199999999828</v>
      </c>
      <c r="I79" s="14">
        <f t="shared" si="8"/>
        <v>18.66500000000001</v>
      </c>
      <c r="J79" s="14">
        <f t="shared" si="9"/>
        <v>533.97699999999827</v>
      </c>
      <c r="K79" s="14">
        <f t="shared" si="10"/>
        <v>367898</v>
      </c>
      <c r="L79" s="14">
        <v>371162</v>
      </c>
      <c r="M79" s="14">
        <f t="shared" si="11"/>
        <v>-3264</v>
      </c>
      <c r="N79" s="94"/>
      <c r="O79" s="94"/>
      <c r="P79" s="94"/>
    </row>
    <row r="80" spans="1:16" x14ac:dyDescent="0.2">
      <c r="A80" s="20" t="s">
        <v>1</v>
      </c>
      <c r="B80" s="21" t="s">
        <v>230</v>
      </c>
      <c r="C80" s="14">
        <v>299.60099999999909</v>
      </c>
      <c r="D80" s="14">
        <v>5.1549999999999976</v>
      </c>
      <c r="E80" s="14">
        <f t="shared" si="6"/>
        <v>325.37599999999907</v>
      </c>
      <c r="F80" s="14"/>
      <c r="G80" s="14"/>
      <c r="H80" s="14">
        <f t="shared" si="7"/>
        <v>299.60099999999909</v>
      </c>
      <c r="I80" s="14">
        <f t="shared" si="8"/>
        <v>5.1549999999999976</v>
      </c>
      <c r="J80" s="14">
        <f t="shared" si="9"/>
        <v>325.37599999999907</v>
      </c>
      <c r="K80" s="14">
        <f t="shared" si="10"/>
        <v>224177</v>
      </c>
      <c r="L80" s="14">
        <v>226007</v>
      </c>
      <c r="M80" s="14">
        <f t="shared" si="11"/>
        <v>-1830</v>
      </c>
      <c r="N80" s="94"/>
      <c r="O80" s="94"/>
      <c r="P80" s="94"/>
    </row>
    <row r="81" spans="1:16" x14ac:dyDescent="0.2">
      <c r="A81" s="20" t="s">
        <v>1</v>
      </c>
      <c r="B81" s="21" t="s">
        <v>91</v>
      </c>
      <c r="C81" s="14">
        <v>458.04799999999614</v>
      </c>
      <c r="D81" s="14">
        <v>26.35700000000001</v>
      </c>
      <c r="E81" s="14">
        <f t="shared" si="6"/>
        <v>589.83299999999622</v>
      </c>
      <c r="F81" s="14"/>
      <c r="G81" s="14"/>
      <c r="H81" s="14">
        <f t="shared" si="7"/>
        <v>458.04799999999614</v>
      </c>
      <c r="I81" s="14">
        <f t="shared" si="8"/>
        <v>26.35700000000001</v>
      </c>
      <c r="J81" s="14">
        <f t="shared" si="9"/>
        <v>589.83299999999622</v>
      </c>
      <c r="K81" s="14">
        <f t="shared" si="10"/>
        <v>406382</v>
      </c>
      <c r="L81" s="14">
        <v>411626</v>
      </c>
      <c r="M81" s="14">
        <f t="shared" si="11"/>
        <v>-5244</v>
      </c>
      <c r="N81" s="94"/>
      <c r="O81" s="94"/>
      <c r="P81" s="94"/>
    </row>
    <row r="82" spans="1:16" x14ac:dyDescent="0.2">
      <c r="A82" s="20" t="s">
        <v>1</v>
      </c>
      <c r="B82" s="21" t="s">
        <v>0</v>
      </c>
      <c r="C82" s="14">
        <v>2.165</v>
      </c>
      <c r="D82" s="14">
        <v>70.370999999999981</v>
      </c>
      <c r="E82" s="14">
        <f t="shared" si="6"/>
        <v>354.01999999999992</v>
      </c>
      <c r="F82" s="14"/>
      <c r="G82" s="14"/>
      <c r="H82" s="14">
        <f t="shared" si="7"/>
        <v>2.165</v>
      </c>
      <c r="I82" s="14">
        <f t="shared" si="8"/>
        <v>70.370999999999981</v>
      </c>
      <c r="J82" s="14">
        <f t="shared" si="9"/>
        <v>354.01999999999992</v>
      </c>
      <c r="K82" s="14">
        <f t="shared" si="10"/>
        <v>243912</v>
      </c>
      <c r="L82" s="14">
        <v>245918</v>
      </c>
      <c r="M82" s="14">
        <f t="shared" si="11"/>
        <v>-2006</v>
      </c>
      <c r="N82" s="94"/>
      <c r="O82" s="94"/>
      <c r="P82" s="94"/>
    </row>
    <row r="83" spans="1:16" x14ac:dyDescent="0.2">
      <c r="A83" s="238" t="s">
        <v>149</v>
      </c>
      <c r="B83" s="238"/>
      <c r="C83" s="17">
        <f>SUM(C4:C82)</f>
        <v>16307.406999999967</v>
      </c>
      <c r="D83" s="17">
        <f>SUM(D4:D82)</f>
        <v>5249.9439999999922</v>
      </c>
      <c r="E83" s="17">
        <f t="shared" ref="E83:M83" si="12">SUM(E4:E82)</f>
        <v>42557.126999999942</v>
      </c>
      <c r="F83" s="17">
        <f t="shared" si="12"/>
        <v>11.487000000000002</v>
      </c>
      <c r="G83" s="17">
        <f t="shared" si="12"/>
        <v>0</v>
      </c>
      <c r="H83" s="17">
        <f t="shared" si="12"/>
        <v>16295.919999999966</v>
      </c>
      <c r="I83" s="17">
        <f t="shared" si="12"/>
        <v>5249.9439999999922</v>
      </c>
      <c r="J83" s="17">
        <f t="shared" si="12"/>
        <v>42545.639999999941</v>
      </c>
      <c r="K83" s="17">
        <f t="shared" si="12"/>
        <v>29313000</v>
      </c>
      <c r="L83" s="17">
        <f t="shared" si="12"/>
        <v>29313000</v>
      </c>
      <c r="M83" s="17">
        <f t="shared" si="12"/>
        <v>0</v>
      </c>
      <c r="N83" s="94"/>
      <c r="O83" s="94"/>
      <c r="P83" s="94"/>
    </row>
    <row r="84" spans="1:16" x14ac:dyDescent="0.2">
      <c r="D84" s="6"/>
      <c r="F84" s="2"/>
      <c r="G84" s="2"/>
      <c r="H84" s="2"/>
      <c r="I84" s="2"/>
      <c r="J84" s="2" t="s">
        <v>392</v>
      </c>
      <c r="K84" s="2">
        <v>29313000</v>
      </c>
      <c r="N84" s="94"/>
      <c r="O84" s="94"/>
    </row>
    <row r="85" spans="1:16" x14ac:dyDescent="0.2">
      <c r="F85" s="2"/>
      <c r="G85" s="2"/>
      <c r="H85" s="2"/>
      <c r="I85" s="2"/>
      <c r="J85" s="2" t="s">
        <v>164</v>
      </c>
      <c r="K85" s="15">
        <f>K84-K83</f>
        <v>0</v>
      </c>
      <c r="N85" s="94"/>
      <c r="O85" s="94"/>
    </row>
    <row r="88" spans="1:16" x14ac:dyDescent="0.2">
      <c r="C88" s="24"/>
      <c r="D88" s="24"/>
      <c r="F88" s="6"/>
      <c r="G88" s="6"/>
      <c r="H88" s="6"/>
      <c r="I88" s="6"/>
      <c r="J88" s="6" t="s">
        <v>195</v>
      </c>
      <c r="K88" s="100">
        <v>688.97776499999998</v>
      </c>
    </row>
    <row r="93" spans="1:16" x14ac:dyDescent="0.2">
      <c r="C93" s="2"/>
      <c r="D93" s="2"/>
      <c r="E93" s="2"/>
      <c r="F93" s="2"/>
      <c r="G93" s="2"/>
      <c r="H93" s="2"/>
      <c r="I93" s="2"/>
      <c r="J93" s="2"/>
    </row>
    <row r="94" spans="1:16" x14ac:dyDescent="0.2">
      <c r="C94" s="2"/>
      <c r="D94" s="2"/>
      <c r="E94" s="2"/>
      <c r="F94" s="2"/>
      <c r="G94" s="2"/>
      <c r="H94" s="2"/>
      <c r="I94" s="2"/>
      <c r="J94" s="2"/>
    </row>
    <row r="95" spans="1:16" x14ac:dyDescent="0.2">
      <c r="C95" s="2"/>
      <c r="D95" s="2"/>
      <c r="E95" s="2"/>
      <c r="F95" s="2"/>
      <c r="G95" s="2"/>
      <c r="H95" s="2"/>
      <c r="I95" s="2"/>
      <c r="J95" s="2"/>
    </row>
  </sheetData>
  <mergeCells count="9">
    <mergeCell ref="K1:K3"/>
    <mergeCell ref="L1:L3"/>
    <mergeCell ref="M1:M3"/>
    <mergeCell ref="A83:B83"/>
    <mergeCell ref="A1:A3"/>
    <mergeCell ref="B1:B3"/>
    <mergeCell ref="C1:E2"/>
    <mergeCell ref="F1:G2"/>
    <mergeCell ref="H1:J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D5CF-368B-46D8-AB23-D20815D73EA0}">
  <dimension ref="A1:J14"/>
  <sheetViews>
    <sheetView workbookViewId="0">
      <selection activeCell="A14" sqref="A14"/>
    </sheetView>
  </sheetViews>
  <sheetFormatPr defaultRowHeight="12.75" x14ac:dyDescent="0.2"/>
  <cols>
    <col min="1" max="1" width="23.5703125" bestFit="1" customWidth="1"/>
    <col min="7" max="7" width="7.7109375" customWidth="1"/>
    <col min="8" max="8" width="9.7109375" customWidth="1"/>
    <col min="9" max="9" width="8.7109375" customWidth="1"/>
  </cols>
  <sheetData>
    <row r="1" spans="1:10" x14ac:dyDescent="0.2">
      <c r="A1" s="252" t="s">
        <v>355</v>
      </c>
      <c r="B1" s="253" t="s">
        <v>378</v>
      </c>
      <c r="C1" s="253"/>
      <c r="D1" s="253"/>
      <c r="E1" s="253"/>
      <c r="F1" s="253"/>
      <c r="G1" s="253"/>
      <c r="H1" s="254" t="s">
        <v>401</v>
      </c>
      <c r="I1" s="250" t="s">
        <v>379</v>
      </c>
      <c r="J1" s="250" t="s">
        <v>166</v>
      </c>
    </row>
    <row r="2" spans="1:10" x14ac:dyDescent="0.2">
      <c r="A2" s="252"/>
      <c r="B2" s="253" t="s">
        <v>356</v>
      </c>
      <c r="C2" s="253"/>
      <c r="D2" s="253"/>
      <c r="E2" s="253"/>
      <c r="F2" s="253" t="s">
        <v>357</v>
      </c>
      <c r="G2" s="257" t="s">
        <v>380</v>
      </c>
      <c r="H2" s="255"/>
      <c r="I2" s="251"/>
      <c r="J2" s="251"/>
    </row>
    <row r="3" spans="1:10" ht="63.75" x14ac:dyDescent="0.2">
      <c r="A3" s="252"/>
      <c r="B3" s="101" t="s">
        <v>358</v>
      </c>
      <c r="C3" s="102" t="s">
        <v>359</v>
      </c>
      <c r="D3" s="96" t="s">
        <v>360</v>
      </c>
      <c r="E3" s="96" t="s">
        <v>361</v>
      </c>
      <c r="F3" s="256"/>
      <c r="G3" s="252"/>
      <c r="H3" s="255"/>
      <c r="I3" s="251"/>
      <c r="J3" s="251"/>
    </row>
    <row r="4" spans="1:10" x14ac:dyDescent="0.2">
      <c r="A4" s="13" t="s">
        <v>218</v>
      </c>
      <c r="B4" s="13">
        <v>6.8979999999999997</v>
      </c>
      <c r="C4" s="13"/>
      <c r="D4" s="13">
        <v>6.8979999999999997</v>
      </c>
      <c r="E4" s="13"/>
      <c r="F4" s="13"/>
      <c r="G4" s="13"/>
      <c r="H4" s="14">
        <v>22268</v>
      </c>
      <c r="I4" s="14">
        <v>22268</v>
      </c>
      <c r="J4" s="14">
        <f>H4-I4</f>
        <v>0</v>
      </c>
    </row>
    <row r="5" spans="1:10" x14ac:dyDescent="0.2">
      <c r="A5" s="13" t="s">
        <v>138</v>
      </c>
      <c r="B5" s="13">
        <v>0.41299999999999998</v>
      </c>
      <c r="C5" s="13"/>
      <c r="D5" s="13">
        <v>0.41299999999999998</v>
      </c>
      <c r="E5" s="13"/>
      <c r="F5" s="13"/>
      <c r="G5" s="13"/>
      <c r="H5" s="14">
        <v>1608</v>
      </c>
      <c r="I5" s="14">
        <v>1608</v>
      </c>
      <c r="J5" s="14">
        <f>H5-I5</f>
        <v>0</v>
      </c>
    </row>
    <row r="6" spans="1:10" x14ac:dyDescent="0.2">
      <c r="A6" s="13" t="s">
        <v>109</v>
      </c>
      <c r="B6" s="90">
        <v>0.93200000000000005</v>
      </c>
      <c r="C6" s="13"/>
      <c r="D6" s="13">
        <v>0.35499999999999998</v>
      </c>
      <c r="E6" s="13">
        <v>0.57699999999999996</v>
      </c>
      <c r="F6" s="13"/>
      <c r="G6" s="13"/>
      <c r="H6" s="14">
        <v>2516</v>
      </c>
      <c r="I6" s="14">
        <v>2516</v>
      </c>
      <c r="J6" s="14">
        <f t="shared" ref="J6:J9" si="0">H6-I6</f>
        <v>0</v>
      </c>
    </row>
    <row r="7" spans="1:10" x14ac:dyDescent="0.2">
      <c r="A7" s="13" t="s">
        <v>134</v>
      </c>
      <c r="B7" s="90">
        <v>2.375</v>
      </c>
      <c r="C7" s="13"/>
      <c r="D7" s="13">
        <v>2.375</v>
      </c>
      <c r="E7" s="13"/>
      <c r="F7" s="13"/>
      <c r="G7" s="13"/>
      <c r="H7" s="14">
        <v>14308</v>
      </c>
      <c r="I7" s="14">
        <v>0</v>
      </c>
      <c r="J7" s="14">
        <f t="shared" si="0"/>
        <v>14308</v>
      </c>
    </row>
    <row r="8" spans="1:10" x14ac:dyDescent="0.2">
      <c r="A8" s="13" t="s">
        <v>362</v>
      </c>
      <c r="B8" s="13">
        <v>3.21</v>
      </c>
      <c r="C8" s="13"/>
      <c r="D8" s="13">
        <v>2.9830000000000001</v>
      </c>
      <c r="E8" s="13">
        <v>0.22700000000000001</v>
      </c>
      <c r="F8" s="13"/>
      <c r="G8" s="13"/>
      <c r="H8" s="14">
        <v>10532</v>
      </c>
      <c r="I8" s="14">
        <v>10532</v>
      </c>
      <c r="J8" s="14">
        <f t="shared" si="0"/>
        <v>0</v>
      </c>
    </row>
    <row r="9" spans="1:10" x14ac:dyDescent="0.2">
      <c r="A9" s="13" t="s">
        <v>128</v>
      </c>
      <c r="B9" s="13">
        <v>1.921</v>
      </c>
      <c r="C9" s="13">
        <v>1.0249999999999999</v>
      </c>
      <c r="D9" s="13">
        <v>0.89600000000000002</v>
      </c>
      <c r="E9" s="13"/>
      <c r="F9" s="13"/>
      <c r="G9" s="13"/>
      <c r="H9" s="14">
        <v>27461</v>
      </c>
      <c r="I9" s="14">
        <v>27461</v>
      </c>
      <c r="J9" s="14">
        <f t="shared" si="0"/>
        <v>0</v>
      </c>
    </row>
    <row r="10" spans="1:10" x14ac:dyDescent="0.2">
      <c r="A10" s="92" t="s">
        <v>149</v>
      </c>
      <c r="B10" s="91">
        <f t="shared" ref="B10:J10" si="1">SUM(B4:B9)</f>
        <v>15.748999999999999</v>
      </c>
      <c r="C10" s="91">
        <f t="shared" si="1"/>
        <v>1.0249999999999999</v>
      </c>
      <c r="D10" s="91">
        <f t="shared" si="1"/>
        <v>13.920000000000002</v>
      </c>
      <c r="E10" s="91">
        <f t="shared" si="1"/>
        <v>0.80399999999999994</v>
      </c>
      <c r="F10" s="91">
        <f t="shared" si="1"/>
        <v>0</v>
      </c>
      <c r="G10" s="91">
        <f t="shared" si="1"/>
        <v>0</v>
      </c>
      <c r="H10" s="17">
        <f t="shared" si="1"/>
        <v>78693</v>
      </c>
      <c r="I10" s="17">
        <f t="shared" si="1"/>
        <v>64385</v>
      </c>
      <c r="J10" s="17">
        <f t="shared" si="1"/>
        <v>14308</v>
      </c>
    </row>
    <row r="11" spans="1:10" x14ac:dyDescent="0.2">
      <c r="G11" t="s">
        <v>402</v>
      </c>
      <c r="H11" s="2">
        <f>KOOND!S86</f>
        <v>78694</v>
      </c>
    </row>
    <row r="12" spans="1:10" x14ac:dyDescent="0.2">
      <c r="G12" t="s">
        <v>164</v>
      </c>
      <c r="H12" s="2">
        <f>H11-H10</f>
        <v>1</v>
      </c>
    </row>
    <row r="13" spans="1:10" x14ac:dyDescent="0.2">
      <c r="A13" s="179" t="s">
        <v>529</v>
      </c>
    </row>
    <row r="14" spans="1:10" x14ac:dyDescent="0.2">
      <c r="A14" t="s">
        <v>134</v>
      </c>
      <c r="B14">
        <v>0.13400000000000001</v>
      </c>
      <c r="D14">
        <v>0.13400000000000001</v>
      </c>
      <c r="H14">
        <v>645</v>
      </c>
    </row>
  </sheetData>
  <mergeCells count="8">
    <mergeCell ref="I1:I3"/>
    <mergeCell ref="J1:J3"/>
    <mergeCell ref="A1:A3"/>
    <mergeCell ref="B1:G1"/>
    <mergeCell ref="H1:H3"/>
    <mergeCell ref="B2:E2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Üldharidus</vt:lpstr>
      <vt:lpstr>Huvitegevus</vt:lpstr>
      <vt:lpstr>Lasteaed</vt:lpstr>
      <vt:lpstr>Toimetulekutoetus</vt:lpstr>
      <vt:lpstr>Abivajadusega lapsed</vt:lpstr>
      <vt:lpstr>Rahvastikutoimingud</vt:lpstr>
      <vt:lpstr>Rahvastikutoimingud Ukraina</vt:lpstr>
      <vt:lpstr>Kohalikud teed</vt:lpstr>
      <vt:lpstr>Üleantud teed</vt:lpstr>
      <vt:lpstr>Tasandusfond</vt:lpstr>
      <vt:lpstr>KOOND</vt:lpstr>
      <vt:lpstr>Tulumaks 2021-2024</vt:lpstr>
      <vt:lpstr>Tasandusfond KOV vaates</vt:lpstr>
      <vt:lpstr>Pikaajaline hooldus</vt:lpstr>
    </vt:vector>
  </TitlesOfParts>
  <Company>RMV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Jõgi</dc:creator>
  <cp:lastModifiedBy>Andrus Jõgi</cp:lastModifiedBy>
  <dcterms:created xsi:type="dcterms:W3CDTF">2017-08-23T06:01:03Z</dcterms:created>
  <dcterms:modified xsi:type="dcterms:W3CDTF">2024-11-21T07:09:42Z</dcterms:modified>
</cp:coreProperties>
</file>